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tsme\OneDrive\Documents\LSE\Sipher street\AppLoving\"/>
    </mc:Choice>
  </mc:AlternateContent>
  <xr:revisionPtr revIDLastSave="0" documentId="13_ncr:1_{7BAD1E0B-4CF8-439B-9F7F-67EC7DDC49DB}" xr6:coauthVersionLast="47" xr6:coauthVersionMax="47" xr10:uidLastSave="{00000000-0000-0000-0000-000000000000}"/>
  <bookViews>
    <workbookView xWindow="-28920" yWindow="-120" windowWidth="29040" windowHeight="15720" xr2:uid="{6C93F160-F9EC-42EA-8764-3FE5C2237C03}"/>
  </bookViews>
  <sheets>
    <sheet name="Cover" sheetId="6" r:id="rId1"/>
    <sheet name="Control" sheetId="7" r:id="rId2"/>
    <sheet name="Metrics &amp; Drivers" sheetId="5" r:id="rId3"/>
    <sheet name="Net Working Capital" sheetId="4" r:id="rId4"/>
    <sheet name="DCF" sheetId="9" r:id="rId5"/>
    <sheet name="WACC" sheetId="8" r:id="rId6"/>
    <sheet name="Income Statement" sheetId="1" r:id="rId7"/>
    <sheet name="Balance Sheet" sheetId="2" r:id="rId8"/>
    <sheet name="Cash Flow" sheetId="3" r:id="rId9"/>
  </sheets>
  <definedNames>
    <definedName name="CaseSel">'Metrics &amp; Drivers'!$D$3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9" l="1"/>
  <c r="F33" i="9" s="1"/>
  <c r="G33" i="9" s="1"/>
  <c r="H33" i="9" s="1"/>
  <c r="I33" i="9" s="1"/>
  <c r="M17" i="9"/>
  <c r="M15" i="9"/>
  <c r="M14" i="9"/>
  <c r="C27" i="9"/>
  <c r="C29" i="9"/>
  <c r="C30" i="9" s="1"/>
  <c r="C28" i="9"/>
  <c r="C26" i="9"/>
  <c r="C21" i="9"/>
  <c r="C23" i="9"/>
  <c r="C24" i="9" s="1"/>
  <c r="C22" i="9"/>
  <c r="C19" i="9"/>
  <c r="C18" i="9"/>
  <c r="C16" i="9"/>
  <c r="C15" i="9"/>
  <c r="C14" i="9"/>
  <c r="C12" i="9"/>
  <c r="C11" i="9"/>
  <c r="C9" i="9"/>
  <c r="C7" i="9"/>
  <c r="G23" i="8"/>
  <c r="H22" i="8" s="1"/>
  <c r="J22" i="8"/>
  <c r="G22" i="8"/>
  <c r="J18" i="8"/>
  <c r="J23" i="8" s="1"/>
  <c r="J17" i="8"/>
  <c r="J16" i="8"/>
  <c r="J15" i="8"/>
  <c r="J11" i="8"/>
  <c r="J10" i="8"/>
  <c r="J9" i="8"/>
  <c r="J7" i="8"/>
  <c r="E12" i="8"/>
  <c r="E11" i="8"/>
  <c r="E10" i="8"/>
  <c r="H23" i="8" l="1"/>
  <c r="H24" i="8" s="1"/>
  <c r="G24" i="8"/>
  <c r="J24" i="8"/>
  <c r="C32" i="9" s="1"/>
  <c r="I34" i="9"/>
  <c r="M9" i="9" s="1"/>
  <c r="H34" i="9"/>
  <c r="G34" i="9"/>
  <c r="E34" i="9"/>
  <c r="F34" i="9"/>
  <c r="D34" i="9"/>
  <c r="D3" i="5"/>
  <c r="I91" i="5"/>
  <c r="H91" i="5"/>
  <c r="G91" i="5"/>
  <c r="F91" i="5"/>
  <c r="E91" i="5"/>
  <c r="D91" i="5"/>
  <c r="C91" i="5"/>
  <c r="I85" i="5"/>
  <c r="H85" i="5"/>
  <c r="G85" i="5"/>
  <c r="F85" i="5"/>
  <c r="E85" i="5"/>
  <c r="D85" i="5"/>
  <c r="C85" i="5"/>
  <c r="I79" i="5"/>
  <c r="H79" i="5"/>
  <c r="G79" i="5"/>
  <c r="F79" i="5"/>
  <c r="E79" i="5"/>
  <c r="D79" i="5"/>
  <c r="C79" i="5"/>
  <c r="I73" i="5"/>
  <c r="I74" i="5" s="1"/>
  <c r="H73" i="5"/>
  <c r="H74" i="5" s="1"/>
  <c r="G73" i="5"/>
  <c r="G74" i="5" s="1"/>
  <c r="F73" i="5"/>
  <c r="E73" i="5"/>
  <c r="D73" i="5"/>
  <c r="C73" i="5"/>
  <c r="I66" i="5"/>
  <c r="H66" i="5"/>
  <c r="G66" i="5"/>
  <c r="F66" i="5"/>
  <c r="E66" i="5"/>
  <c r="D66" i="5"/>
  <c r="C66" i="5"/>
  <c r="I58" i="5"/>
  <c r="H58" i="5"/>
  <c r="G58" i="5"/>
  <c r="F58" i="5"/>
  <c r="F59" i="5" s="1"/>
  <c r="E58" i="5"/>
  <c r="E59" i="5" s="1"/>
  <c r="D58" i="5"/>
  <c r="D59" i="5" s="1"/>
  <c r="C58" i="5"/>
  <c r="I51" i="5"/>
  <c r="H51" i="5"/>
  <c r="G51" i="5"/>
  <c r="F51" i="5"/>
  <c r="E51" i="5"/>
  <c r="D51" i="5"/>
  <c r="C51" i="5"/>
  <c r="I45" i="5"/>
  <c r="H45" i="5"/>
  <c r="G45" i="5"/>
  <c r="F45" i="5"/>
  <c r="E45" i="5"/>
  <c r="D45" i="5"/>
  <c r="C45" i="5"/>
  <c r="I38" i="5"/>
  <c r="H38" i="5"/>
  <c r="G38" i="5"/>
  <c r="F38" i="5"/>
  <c r="E38" i="5"/>
  <c r="D38" i="5"/>
  <c r="C38" i="5"/>
  <c r="I32" i="5"/>
  <c r="H32" i="5"/>
  <c r="G32" i="5"/>
  <c r="F32" i="5"/>
  <c r="E32" i="5"/>
  <c r="D32" i="5"/>
  <c r="C32" i="5"/>
  <c r="I26" i="5"/>
  <c r="I27" i="5" s="1"/>
  <c r="H26" i="5"/>
  <c r="H27" i="5" s="1"/>
  <c r="G26" i="5"/>
  <c r="F26" i="5"/>
  <c r="E26" i="5"/>
  <c r="D26" i="5"/>
  <c r="C26" i="5"/>
  <c r="I20" i="5"/>
  <c r="I21" i="5" s="1"/>
  <c r="H20" i="5"/>
  <c r="G20" i="5"/>
  <c r="F20" i="5"/>
  <c r="E20" i="5"/>
  <c r="D20" i="5"/>
  <c r="C20" i="5"/>
  <c r="I14" i="5"/>
  <c r="I15" i="5" s="1"/>
  <c r="H14" i="5"/>
  <c r="H15" i="5" s="1"/>
  <c r="G14" i="5"/>
  <c r="G15" i="5" s="1"/>
  <c r="F14" i="5"/>
  <c r="F15" i="5" s="1"/>
  <c r="E14" i="5"/>
  <c r="E15" i="5" s="1"/>
  <c r="D14" i="5"/>
  <c r="D15" i="5" s="1"/>
  <c r="C14" i="5"/>
  <c r="C15" i="5" s="1"/>
  <c r="I7" i="5"/>
  <c r="H7" i="5"/>
  <c r="G7" i="5"/>
  <c r="G80" i="5" s="1"/>
  <c r="F7" i="5"/>
  <c r="E7" i="5"/>
  <c r="D7" i="5"/>
  <c r="C7" i="5"/>
  <c r="O65" i="5" l="1"/>
  <c r="K8" i="5"/>
  <c r="K65" i="5"/>
  <c r="N58" i="5"/>
  <c r="L58" i="5"/>
  <c r="O8" i="5"/>
  <c r="L8" i="5"/>
  <c r="N65" i="5"/>
  <c r="J8" i="5"/>
  <c r="J7" i="5" s="1"/>
  <c r="L65" i="5"/>
  <c r="O58" i="5"/>
  <c r="M58" i="5"/>
  <c r="J58" i="5"/>
  <c r="N8" i="5"/>
  <c r="M8" i="5"/>
  <c r="M65" i="5"/>
  <c r="J65" i="5"/>
  <c r="K58" i="5"/>
  <c r="O92" i="5"/>
  <c r="J98" i="5"/>
  <c r="M7" i="9" s="1"/>
  <c r="K33" i="5"/>
  <c r="J86" i="5"/>
  <c r="O52" i="5"/>
  <c r="K86" i="5"/>
  <c r="N52" i="5"/>
  <c r="L33" i="5"/>
  <c r="L86" i="5"/>
  <c r="J33" i="5"/>
  <c r="J74" i="5"/>
  <c r="K74" i="5"/>
  <c r="N33" i="5"/>
  <c r="M80" i="5"/>
  <c r="N80" i="5"/>
  <c r="O15" i="5"/>
  <c r="J21" i="5"/>
  <c r="M86" i="5"/>
  <c r="J27" i="5"/>
  <c r="L80" i="5"/>
  <c r="O33" i="5"/>
  <c r="J39" i="5"/>
  <c r="N15" i="5"/>
  <c r="L39" i="5"/>
  <c r="K21" i="5"/>
  <c r="L21" i="5"/>
  <c r="M21" i="5"/>
  <c r="J52" i="5"/>
  <c r="N86" i="5"/>
  <c r="M52" i="5"/>
  <c r="M33" i="5"/>
  <c r="L15" i="5"/>
  <c r="O80" i="5"/>
  <c r="N46" i="5"/>
  <c r="N21" i="5"/>
  <c r="K52" i="5"/>
  <c r="O86" i="5"/>
  <c r="M15" i="5"/>
  <c r="K39" i="5"/>
  <c r="M39" i="5"/>
  <c r="O46" i="5"/>
  <c r="O21" i="5"/>
  <c r="L52" i="5"/>
  <c r="K92" i="5"/>
  <c r="L74" i="5"/>
  <c r="L27" i="5"/>
  <c r="J46" i="5"/>
  <c r="N74" i="5"/>
  <c r="L92" i="5"/>
  <c r="M27" i="5"/>
  <c r="K46" i="5"/>
  <c r="O74" i="5"/>
  <c r="M92" i="5"/>
  <c r="J92" i="5"/>
  <c r="O39" i="5"/>
  <c r="J15" i="5"/>
  <c r="N27" i="5"/>
  <c r="L46" i="5"/>
  <c r="J80" i="5"/>
  <c r="N92" i="5"/>
  <c r="N39" i="5"/>
  <c r="K27" i="5"/>
  <c r="M74" i="5"/>
  <c r="K15" i="5"/>
  <c r="O27" i="5"/>
  <c r="M46" i="5"/>
  <c r="K80" i="5"/>
  <c r="H59" i="5"/>
  <c r="G59" i="5"/>
  <c r="I59" i="5"/>
  <c r="G39" i="5"/>
  <c r="H39" i="5"/>
  <c r="G86" i="5"/>
  <c r="I39" i="5"/>
  <c r="H86" i="5"/>
  <c r="C86" i="5"/>
  <c r="D86" i="5"/>
  <c r="E86" i="5"/>
  <c r="D27" i="5"/>
  <c r="C74" i="5"/>
  <c r="I86" i="5"/>
  <c r="E27" i="5"/>
  <c r="D74" i="5"/>
  <c r="E52" i="5"/>
  <c r="F39" i="5"/>
  <c r="F86" i="5"/>
  <c r="C27" i="5"/>
  <c r="F27" i="5"/>
  <c r="E74" i="5"/>
  <c r="D52" i="5"/>
  <c r="G27" i="5"/>
  <c r="F74" i="5"/>
  <c r="C33" i="5"/>
  <c r="H80" i="5"/>
  <c r="F8" i="5"/>
  <c r="F52" i="5"/>
  <c r="G52" i="5"/>
  <c r="I52" i="5"/>
  <c r="H8" i="5"/>
  <c r="H52" i="5"/>
  <c r="D39" i="5"/>
  <c r="I80" i="5"/>
  <c r="E39" i="5"/>
  <c r="D33" i="5"/>
  <c r="H46" i="5"/>
  <c r="E21" i="5"/>
  <c r="E80" i="5"/>
  <c r="D8" i="5"/>
  <c r="E8" i="5"/>
  <c r="H21" i="5"/>
  <c r="I8" i="5"/>
  <c r="C46" i="5"/>
  <c r="E46" i="5"/>
  <c r="F46" i="5"/>
  <c r="C92" i="5"/>
  <c r="C21" i="5"/>
  <c r="E33" i="5"/>
  <c r="G46" i="5"/>
  <c r="D92" i="5"/>
  <c r="C80" i="5"/>
  <c r="E92" i="5"/>
  <c r="D80" i="5"/>
  <c r="F92" i="5"/>
  <c r="C52" i="5"/>
  <c r="I33" i="5"/>
  <c r="F80" i="5"/>
  <c r="H92" i="5"/>
  <c r="C39" i="5"/>
  <c r="I92" i="5"/>
  <c r="G8" i="5"/>
  <c r="D46" i="5"/>
  <c r="D21" i="5"/>
  <c r="F33" i="5"/>
  <c r="G33" i="5"/>
  <c r="I46" i="5"/>
  <c r="F21" i="5"/>
  <c r="H33" i="5"/>
  <c r="G92" i="5"/>
  <c r="G21" i="5"/>
  <c r="D7" i="9" l="1"/>
  <c r="D8" i="9" s="1"/>
  <c r="K7" i="5"/>
  <c r="J51" i="5"/>
  <c r="D27" i="9" s="1"/>
  <c r="J79" i="5"/>
  <c r="J10" i="4" s="1"/>
  <c r="J91" i="5"/>
  <c r="J14" i="4" s="1"/>
  <c r="J26" i="5"/>
  <c r="D15" i="9" s="1"/>
  <c r="J73" i="5"/>
  <c r="J9" i="4" s="1"/>
  <c r="J11" i="4" s="1"/>
  <c r="J85" i="5"/>
  <c r="J13" i="4" s="1"/>
  <c r="J17" i="4" s="1"/>
  <c r="J14" i="5"/>
  <c r="D9" i="9" s="1"/>
  <c r="J45" i="5"/>
  <c r="J32" i="5"/>
  <c r="D16" i="9" s="1"/>
  <c r="J38" i="5"/>
  <c r="D26" i="9" s="1"/>
  <c r="J20" i="5"/>
  <c r="D14" i="9" s="1"/>
  <c r="K45" i="5"/>
  <c r="L7" i="5"/>
  <c r="I20" i="4"/>
  <c r="H20" i="4"/>
  <c r="G20" i="4"/>
  <c r="F20" i="4"/>
  <c r="E20" i="4"/>
  <c r="D20" i="4"/>
  <c r="I19" i="4"/>
  <c r="H19" i="4"/>
  <c r="G19" i="4"/>
  <c r="F19" i="4"/>
  <c r="E19" i="4"/>
  <c r="D19" i="4"/>
  <c r="C19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D46" i="3"/>
  <c r="E46" i="3"/>
  <c r="F46" i="3"/>
  <c r="G46" i="3"/>
  <c r="H46" i="3"/>
  <c r="I46" i="3"/>
  <c r="C46" i="3"/>
  <c r="D36" i="3"/>
  <c r="D51" i="3" s="1"/>
  <c r="D53" i="3" s="1"/>
  <c r="E36" i="3"/>
  <c r="F36" i="3"/>
  <c r="G36" i="3"/>
  <c r="H36" i="3"/>
  <c r="I36" i="3"/>
  <c r="C36" i="3"/>
  <c r="D27" i="3"/>
  <c r="E27" i="3"/>
  <c r="E51" i="3" s="1"/>
  <c r="E53" i="3" s="1"/>
  <c r="F27" i="3"/>
  <c r="F51" i="3" s="1"/>
  <c r="G27" i="3"/>
  <c r="G51" i="3" s="1"/>
  <c r="H27" i="3"/>
  <c r="H51" i="3" s="1"/>
  <c r="I27" i="3"/>
  <c r="I51" i="3" s="1"/>
  <c r="C27" i="3"/>
  <c r="C51" i="3" s="1"/>
  <c r="C53" i="3" s="1"/>
  <c r="D54" i="2"/>
  <c r="E54" i="2"/>
  <c r="D52" i="2"/>
  <c r="E52" i="2"/>
  <c r="F52" i="2"/>
  <c r="F54" i="2" s="1"/>
  <c r="G52" i="2"/>
  <c r="G54" i="2" s="1"/>
  <c r="H52" i="2"/>
  <c r="H54" i="2" s="1"/>
  <c r="I52" i="2"/>
  <c r="I54" i="2" s="1"/>
  <c r="C52" i="2"/>
  <c r="C54" i="2" s="1"/>
  <c r="D44" i="2"/>
  <c r="D55" i="2" s="1"/>
  <c r="E44" i="2"/>
  <c r="E55" i="2" s="1"/>
  <c r="F44" i="2"/>
  <c r="F55" i="2" s="1"/>
  <c r="D42" i="2"/>
  <c r="E42" i="2"/>
  <c r="F42" i="2"/>
  <c r="G42" i="2"/>
  <c r="H42" i="2"/>
  <c r="I42" i="2"/>
  <c r="C42" i="2"/>
  <c r="D36" i="2"/>
  <c r="E36" i="2"/>
  <c r="F36" i="2"/>
  <c r="G36" i="2"/>
  <c r="G44" i="2" s="1"/>
  <c r="G55" i="2" s="1"/>
  <c r="H36" i="2"/>
  <c r="H44" i="2" s="1"/>
  <c r="H55" i="2" s="1"/>
  <c r="I36" i="2"/>
  <c r="I44" i="2" s="1"/>
  <c r="I55" i="2" s="1"/>
  <c r="C36" i="2"/>
  <c r="C44" i="2" s="1"/>
  <c r="C55" i="2" s="1"/>
  <c r="D23" i="2"/>
  <c r="E23" i="2"/>
  <c r="F23" i="2"/>
  <c r="F25" i="2" s="1"/>
  <c r="F57" i="2" s="1"/>
  <c r="G23" i="2"/>
  <c r="G25" i="2" s="1"/>
  <c r="G57" i="2" s="1"/>
  <c r="H23" i="2"/>
  <c r="H25" i="2" s="1"/>
  <c r="H57" i="2" s="1"/>
  <c r="I23" i="2"/>
  <c r="I25" i="2" s="1"/>
  <c r="I57" i="2" s="1"/>
  <c r="C23" i="2"/>
  <c r="C25" i="2" s="1"/>
  <c r="D14" i="2"/>
  <c r="D25" i="2" s="1"/>
  <c r="E14" i="2"/>
  <c r="E25" i="2" s="1"/>
  <c r="F14" i="2"/>
  <c r="G14" i="2"/>
  <c r="H14" i="2"/>
  <c r="I14" i="2"/>
  <c r="C14" i="2"/>
  <c r="D23" i="1"/>
  <c r="E23" i="1"/>
  <c r="F23" i="1"/>
  <c r="G23" i="1"/>
  <c r="H23" i="1"/>
  <c r="I23" i="1"/>
  <c r="C23" i="1"/>
  <c r="D16" i="1"/>
  <c r="E16" i="1"/>
  <c r="F16" i="1"/>
  <c r="G16" i="1"/>
  <c r="H16" i="1"/>
  <c r="I16" i="1"/>
  <c r="C16" i="1"/>
  <c r="D10" i="1"/>
  <c r="E10" i="1"/>
  <c r="E18" i="1" s="1"/>
  <c r="E25" i="1" s="1"/>
  <c r="E27" i="1" s="1"/>
  <c r="E29" i="1" s="1"/>
  <c r="E31" i="1" s="1"/>
  <c r="F10" i="1"/>
  <c r="G10" i="1"/>
  <c r="G18" i="1" s="1"/>
  <c r="G25" i="1" s="1"/>
  <c r="G27" i="1" s="1"/>
  <c r="G29" i="1" s="1"/>
  <c r="G31" i="1" s="1"/>
  <c r="H10" i="1"/>
  <c r="H18" i="1" s="1"/>
  <c r="H25" i="1" s="1"/>
  <c r="H27" i="1" s="1"/>
  <c r="H29" i="1" s="1"/>
  <c r="H31" i="1" s="1"/>
  <c r="I10" i="1"/>
  <c r="I18" i="1" s="1"/>
  <c r="I25" i="1" s="1"/>
  <c r="I27" i="1" s="1"/>
  <c r="I29" i="1" s="1"/>
  <c r="I31" i="1" s="1"/>
  <c r="C10" i="1"/>
  <c r="F7" i="9" l="1"/>
  <c r="K32" i="5"/>
  <c r="E16" i="9" s="1"/>
  <c r="E7" i="9"/>
  <c r="E8" i="9" s="1"/>
  <c r="K38" i="5"/>
  <c r="E26" i="9" s="1"/>
  <c r="K79" i="5"/>
  <c r="K10" i="4" s="1"/>
  <c r="K14" i="5"/>
  <c r="E9" i="9" s="1"/>
  <c r="D11" i="9"/>
  <c r="D12" i="9" s="1"/>
  <c r="K26" i="5"/>
  <c r="E15" i="9" s="1"/>
  <c r="K85" i="5"/>
  <c r="K13" i="4" s="1"/>
  <c r="K51" i="5"/>
  <c r="E27" i="9" s="1"/>
  <c r="K73" i="5"/>
  <c r="K9" i="4" s="1"/>
  <c r="K11" i="4" s="1"/>
  <c r="K91" i="5"/>
  <c r="K14" i="4" s="1"/>
  <c r="K17" i="4" s="1"/>
  <c r="K20" i="5"/>
  <c r="E14" i="9" s="1"/>
  <c r="L20" i="5"/>
  <c r="F14" i="9" s="1"/>
  <c r="L91" i="5"/>
  <c r="L14" i="4" s="1"/>
  <c r="L32" i="5"/>
  <c r="F16" i="9" s="1"/>
  <c r="L73" i="5"/>
  <c r="L9" i="4" s="1"/>
  <c r="L38" i="5"/>
  <c r="F26" i="9" s="1"/>
  <c r="L79" i="5"/>
  <c r="L10" i="4" s="1"/>
  <c r="L14" i="5"/>
  <c r="F9" i="9" s="1"/>
  <c r="F11" i="9" s="1"/>
  <c r="F12" i="9" s="1"/>
  <c r="L51" i="5"/>
  <c r="F27" i="9" s="1"/>
  <c r="L45" i="5"/>
  <c r="L26" i="5"/>
  <c r="F15" i="9" s="1"/>
  <c r="L85" i="5"/>
  <c r="L13" i="4" s="1"/>
  <c r="M7" i="5"/>
  <c r="J19" i="4"/>
  <c r="J20" i="4" s="1"/>
  <c r="D28" i="9" s="1"/>
  <c r="F53" i="3"/>
  <c r="G53" i="3" s="1"/>
  <c r="H53" i="3" s="1"/>
  <c r="I53" i="3" s="1"/>
  <c r="D57" i="2"/>
  <c r="E57" i="2"/>
  <c r="C57" i="2"/>
  <c r="F18" i="1"/>
  <c r="F25" i="1" s="1"/>
  <c r="F27" i="1" s="1"/>
  <c r="F29" i="1" s="1"/>
  <c r="D18" i="1"/>
  <c r="D25" i="1" s="1"/>
  <c r="D27" i="1" s="1"/>
  <c r="D29" i="1" s="1"/>
  <c r="I9" i="3"/>
  <c r="H9" i="3"/>
  <c r="G9" i="3"/>
  <c r="E9" i="3"/>
  <c r="C18" i="1"/>
  <c r="C25" i="1" s="1"/>
  <c r="C27" i="1" s="1"/>
  <c r="C29" i="1" s="1"/>
  <c r="G7" i="9" l="1"/>
  <c r="G8" i="9" s="1"/>
  <c r="D18" i="9"/>
  <c r="D19" i="9" s="1"/>
  <c r="E11" i="9"/>
  <c r="F8" i="9"/>
  <c r="E18" i="9"/>
  <c r="D21" i="9"/>
  <c r="D22" i="9" s="1"/>
  <c r="E12" i="9"/>
  <c r="M38" i="5"/>
  <c r="G26" i="9" s="1"/>
  <c r="M45" i="5"/>
  <c r="M20" i="5"/>
  <c r="G14" i="9" s="1"/>
  <c r="F18" i="9"/>
  <c r="F19" i="9" s="1"/>
  <c r="M14" i="5"/>
  <c r="G9" i="9" s="1"/>
  <c r="G11" i="9" s="1"/>
  <c r="G12" i="9" s="1"/>
  <c r="M91" i="5"/>
  <c r="M14" i="4" s="1"/>
  <c r="L17" i="4"/>
  <c r="M85" i="5"/>
  <c r="M13" i="4" s="1"/>
  <c r="M32" i="5"/>
  <c r="G16" i="9" s="1"/>
  <c r="N7" i="5"/>
  <c r="K19" i="4"/>
  <c r="K20" i="4" s="1"/>
  <c r="E28" i="9" s="1"/>
  <c r="M26" i="5"/>
  <c r="G15" i="9" s="1"/>
  <c r="M51" i="5"/>
  <c r="G27" i="9" s="1"/>
  <c r="L11" i="4"/>
  <c r="M79" i="5"/>
  <c r="M10" i="4" s="1"/>
  <c r="M73" i="5"/>
  <c r="M9" i="4" s="1"/>
  <c r="D23" i="9"/>
  <c r="E21" i="9"/>
  <c r="E22" i="9" s="1"/>
  <c r="E19" i="9"/>
  <c r="D31" i="1"/>
  <c r="D9" i="3"/>
  <c r="C31" i="1"/>
  <c r="C9" i="3"/>
  <c r="F31" i="1"/>
  <c r="F9" i="3"/>
  <c r="H7" i="9" l="1"/>
  <c r="H8" i="9" s="1"/>
  <c r="L19" i="4"/>
  <c r="L20" i="4" s="1"/>
  <c r="F28" i="9" s="1"/>
  <c r="M17" i="4"/>
  <c r="G18" i="9"/>
  <c r="G19" i="9" s="1"/>
  <c r="F21" i="9"/>
  <c r="F22" i="9" s="1"/>
  <c r="N79" i="5"/>
  <c r="N10" i="4" s="1"/>
  <c r="N26" i="5"/>
  <c r="H15" i="9" s="1"/>
  <c r="N45" i="5"/>
  <c r="N51" i="5"/>
  <c r="H27" i="9" s="1"/>
  <c r="N38" i="5"/>
  <c r="H26" i="9" s="1"/>
  <c r="N20" i="5"/>
  <c r="H14" i="9" s="1"/>
  <c r="M11" i="4"/>
  <c r="M19" i="4" s="1"/>
  <c r="M20" i="4" s="1"/>
  <c r="G28" i="9" s="1"/>
  <c r="N14" i="5"/>
  <c r="H9" i="9" s="1"/>
  <c r="H11" i="9" s="1"/>
  <c r="H12" i="9" s="1"/>
  <c r="N85" i="5"/>
  <c r="N13" i="4" s="1"/>
  <c r="N32" i="5"/>
  <c r="H16" i="9" s="1"/>
  <c r="O7" i="5"/>
  <c r="N73" i="5"/>
  <c r="N9" i="4" s="1"/>
  <c r="N91" i="5"/>
  <c r="N14" i="4" s="1"/>
  <c r="E23" i="9"/>
  <c r="E29" i="9" s="1"/>
  <c r="D29" i="9"/>
  <c r="D24" i="9"/>
  <c r="N11" i="4" l="1"/>
  <c r="I7" i="9"/>
  <c r="I8" i="9" s="1"/>
  <c r="G21" i="9"/>
  <c r="G22" i="9" s="1"/>
  <c r="F23" i="9"/>
  <c r="N17" i="4"/>
  <c r="N19" i="4" s="1"/>
  <c r="N20" i="4" s="1"/>
  <c r="H28" i="9" s="1"/>
  <c r="O26" i="5"/>
  <c r="I15" i="9" s="1"/>
  <c r="O73" i="5"/>
  <c r="O9" i="4" s="1"/>
  <c r="O20" i="5"/>
  <c r="I14" i="9" s="1"/>
  <c r="O79" i="5"/>
  <c r="O10" i="4" s="1"/>
  <c r="O32" i="5"/>
  <c r="I16" i="9" s="1"/>
  <c r="O51" i="5"/>
  <c r="I27" i="9" s="1"/>
  <c r="O38" i="5"/>
  <c r="I26" i="9" s="1"/>
  <c r="O45" i="5"/>
  <c r="O91" i="5"/>
  <c r="O14" i="4" s="1"/>
  <c r="E24" i="9"/>
  <c r="O14" i="5"/>
  <c r="I9" i="9" s="1"/>
  <c r="I11" i="9" s="1"/>
  <c r="I12" i="9" s="1"/>
  <c r="H18" i="9"/>
  <c r="H19" i="9" s="1"/>
  <c r="O85" i="5"/>
  <c r="O13" i="4" s="1"/>
  <c r="D30" i="9"/>
  <c r="D35" i="9"/>
  <c r="G23" i="9"/>
  <c r="E30" i="9"/>
  <c r="E35" i="9"/>
  <c r="F24" i="9"/>
  <c r="F29" i="9"/>
  <c r="O11" i="4" l="1"/>
  <c r="O17" i="4"/>
  <c r="H21" i="9"/>
  <c r="H22" i="9" s="1"/>
  <c r="I18" i="9"/>
  <c r="M6" i="9" s="1"/>
  <c r="M8" i="9" s="1"/>
  <c r="H23" i="9"/>
  <c r="H24" i="9" s="1"/>
  <c r="F30" i="9"/>
  <c r="F35" i="9"/>
  <c r="I19" i="9"/>
  <c r="I21" i="9"/>
  <c r="I22" i="9" s="1"/>
  <c r="G29" i="9"/>
  <c r="G24" i="9"/>
  <c r="O19" i="4" l="1"/>
  <c r="O20" i="4" s="1"/>
  <c r="I28" i="9" s="1"/>
  <c r="H29" i="9"/>
  <c r="I23" i="9"/>
  <c r="M10" i="9"/>
  <c r="G35" i="9"/>
  <c r="G30" i="9"/>
  <c r="H30" i="9" l="1"/>
  <c r="H35" i="9"/>
  <c r="I29" i="9"/>
  <c r="D43" i="9" s="1"/>
  <c r="I24" i="9"/>
  <c r="I42" i="9" l="1"/>
  <c r="C47" i="9"/>
  <c r="C44" i="9"/>
  <c r="I47" i="9"/>
  <c r="H45" i="9"/>
  <c r="G48" i="9"/>
  <c r="E48" i="9"/>
  <c r="G47" i="9"/>
  <c r="H44" i="9"/>
  <c r="E46" i="9"/>
  <c r="E42" i="9"/>
  <c r="C46" i="9"/>
  <c r="F46" i="9"/>
  <c r="D44" i="9"/>
  <c r="I48" i="9"/>
  <c r="H48" i="9"/>
  <c r="H43" i="9"/>
  <c r="F43" i="9"/>
  <c r="F44" i="9"/>
  <c r="G42" i="9"/>
  <c r="E43" i="9"/>
  <c r="I43" i="9"/>
  <c r="D42" i="9"/>
  <c r="E47" i="9"/>
  <c r="F48" i="9"/>
  <c r="I46" i="9"/>
  <c r="G44" i="9"/>
  <c r="D48" i="9"/>
  <c r="G46" i="9"/>
  <c r="D46" i="9"/>
  <c r="C48" i="9"/>
  <c r="H47" i="9"/>
  <c r="C43" i="9"/>
  <c r="H42" i="9"/>
  <c r="I45" i="9"/>
  <c r="H46" i="9"/>
  <c r="E45" i="9"/>
  <c r="F47" i="9"/>
  <c r="F42" i="9"/>
  <c r="D45" i="9"/>
  <c r="F45" i="9"/>
  <c r="G45" i="9"/>
  <c r="I44" i="9"/>
  <c r="C42" i="9"/>
  <c r="E44" i="9"/>
  <c r="C45" i="9"/>
  <c r="G43" i="9"/>
  <c r="D47" i="9"/>
  <c r="I30" i="9"/>
  <c r="I35" i="9"/>
  <c r="I37" i="9" s="1"/>
  <c r="M13" i="9"/>
  <c r="M11" i="9" l="1"/>
  <c r="M12" i="9" s="1"/>
  <c r="M16" i="9" s="1"/>
  <c r="M18" i="9" s="1"/>
  <c r="M19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bhav p</author>
  </authors>
  <commentList>
    <comment ref="F6" authorId="0" shapeId="0" xr:uid="{5E8BBB2C-60D3-4DCD-8208-4691684A53A2}">
      <text>
        <r>
          <rPr>
            <sz val="9"/>
            <color indexed="81"/>
            <rFont val="Tahoma"/>
            <family val="2"/>
          </rPr>
          <t>Please select the correspoding scenario you wish to see calculated</t>
        </r>
      </text>
    </comment>
  </commentList>
</comments>
</file>

<file path=xl/sharedStrings.xml><?xml version="1.0" encoding="utf-8"?>
<sst xmlns="http://schemas.openxmlformats.org/spreadsheetml/2006/main" count="336" uniqueCount="228">
  <si>
    <t>AppLovin Corp (APP.O)</t>
  </si>
  <si>
    <t>Income Statement</t>
  </si>
  <si>
    <t>USD in Millions</t>
  </si>
  <si>
    <t>Revenue</t>
  </si>
  <si>
    <t>Cost of Revenue</t>
  </si>
  <si>
    <t>Gross Profit</t>
  </si>
  <si>
    <t>Operating Expenses</t>
  </si>
  <si>
    <t xml:space="preserve">  Sales &amp; Marketing</t>
  </si>
  <si>
    <t xml:space="preserve">  Research &amp; Development</t>
  </si>
  <si>
    <t xml:space="preserve">  General &amp; Administrative</t>
  </si>
  <si>
    <t>Total Operating Expenses</t>
  </si>
  <si>
    <t>Operating Income (Loss)</t>
  </si>
  <si>
    <t>Other Income / (Expense)</t>
  </si>
  <si>
    <t xml:space="preserve">  Interest Expense</t>
  </si>
  <si>
    <t xml:space="preserve">  Other Income (Expense), Net</t>
  </si>
  <si>
    <t>Total Other Income / (Expense)</t>
  </si>
  <si>
    <t>Income Before Income Taxes</t>
  </si>
  <si>
    <t>Provision for Income Taxes</t>
  </si>
  <si>
    <t>Net Income from Continuing Ops</t>
  </si>
  <si>
    <t>Discontinued Operations, Net of Tax</t>
  </si>
  <si>
    <t>Net Income (Loss)</t>
  </si>
  <si>
    <t>Net Loss Attrib. to NCI</t>
  </si>
  <si>
    <t>Net Income Attrib. to AppLovin</t>
  </si>
  <si>
    <t>Earnings Per Share</t>
  </si>
  <si>
    <t xml:space="preserve">  Basic EPS</t>
  </si>
  <si>
    <t xml:space="preserve">  Diluted EPS</t>
  </si>
  <si>
    <t>Shares Outstanding</t>
  </si>
  <si>
    <t xml:space="preserve">  Basic (millions)</t>
  </si>
  <si>
    <t xml:space="preserve">  Diluted (millions)</t>
  </si>
  <si>
    <t>Supplemental</t>
  </si>
  <si>
    <t xml:space="preserve">  D&amp;A</t>
  </si>
  <si>
    <t xml:space="preserve">  Stock-Based Compensation</t>
  </si>
  <si>
    <t xml:space="preserve">  Adjusted EBITDA</t>
  </si>
  <si>
    <t>Balance Sheet</t>
  </si>
  <si>
    <t>ASSETS</t>
  </si>
  <si>
    <t>Current Assets</t>
  </si>
  <si>
    <t xml:space="preserve">  Cash &amp; Cash Equivalents</t>
  </si>
  <si>
    <t xml:space="preserve">  Accounts Receivable, Net</t>
  </si>
  <si>
    <t xml:space="preserve">  Prepaid Expenses &amp; Other</t>
  </si>
  <si>
    <t>Total Current Assets</t>
  </si>
  <si>
    <t>Non-Current Assets</t>
  </si>
  <si>
    <t xml:space="preserve">  Property &amp; Equipment, Net</t>
  </si>
  <si>
    <t xml:space="preserve">  Operating Lease ROU Assets</t>
  </si>
  <si>
    <t xml:space="preserve">  Goodwill</t>
  </si>
  <si>
    <t xml:space="preserve">  Intangible Assets, Net</t>
  </si>
  <si>
    <t xml:space="preserve">  Equity Method Investments</t>
  </si>
  <si>
    <t xml:space="preserve">  Other Assets</t>
  </si>
  <si>
    <t>Total Non-Current Assets</t>
  </si>
  <si>
    <t>Total Assets</t>
  </si>
  <si>
    <t>LIABILITIES &amp; EQUITY</t>
  </si>
  <si>
    <t>Current Liabilities</t>
  </si>
  <si>
    <t xml:space="preserve">  Accounts Payable</t>
  </si>
  <si>
    <t xml:space="preserve">  Accrued &amp; Other Current Liab.</t>
  </si>
  <si>
    <t xml:space="preserve">  Deferred Revenue</t>
  </si>
  <si>
    <t xml:space="preserve">  Short-Term Debt</t>
  </si>
  <si>
    <t xml:space="preserve">  Current Operating Lease Liab.</t>
  </si>
  <si>
    <t xml:space="preserve">  Deferred Acquisition Costs</t>
  </si>
  <si>
    <t>Total Current Liabilities</t>
  </si>
  <si>
    <t>Non-Current Liabilities</t>
  </si>
  <si>
    <t xml:space="preserve">  Long-Term Debt</t>
  </si>
  <si>
    <t xml:space="preserve">  Operating Lease Liab. (LT)</t>
  </si>
  <si>
    <t xml:space="preserve">  Other Non-Current Liabilities</t>
  </si>
  <si>
    <t>Total Non-Current Liabilities</t>
  </si>
  <si>
    <t>Total Liabilities</t>
  </si>
  <si>
    <t>Stockholders' Equity</t>
  </si>
  <si>
    <t xml:space="preserve">  Common Stock</t>
  </si>
  <si>
    <t xml:space="preserve">  Additional Paid-in Capital</t>
  </si>
  <si>
    <t xml:space="preserve">  Accum. Other Comprehensive Loss</t>
  </si>
  <si>
    <t xml:space="preserve">  Retained Earnings</t>
  </si>
  <si>
    <t>Total Stockholders' Equity</t>
  </si>
  <si>
    <t>Redeemable NCI</t>
  </si>
  <si>
    <t>Total Equity</t>
  </si>
  <si>
    <t>Total Liabilities &amp; Equity</t>
  </si>
  <si>
    <t>Balance Check</t>
  </si>
  <si>
    <t>Cash Flow Statement</t>
  </si>
  <si>
    <t>Cash Flows from Operating Activities</t>
  </si>
  <si>
    <t xml:space="preserve">  Net Income</t>
  </si>
  <si>
    <t xml:space="preserve">  Adjustments to Reconcile Net Income:</t>
  </si>
  <si>
    <t xml:space="preserve">    D&amp;A</t>
  </si>
  <si>
    <t xml:space="preserve">    Stock-Based Compensation</t>
  </si>
  <si>
    <t xml:space="preserve">    Amortization of Debt Issuance Costs</t>
  </si>
  <si>
    <t xml:space="preserve">    Goodwill Impairment</t>
  </si>
  <si>
    <t xml:space="preserve">    Gain on Divestiture</t>
  </si>
  <si>
    <t xml:space="preserve">    Impairment of Investments</t>
  </si>
  <si>
    <t xml:space="preserve">    Loss on Disposal of Long-Lived Assets</t>
  </si>
  <si>
    <t xml:space="preserve">    Loss on Settlement of Debt</t>
  </si>
  <si>
    <t xml:space="preserve">    Other Non-Cash Items</t>
  </si>
  <si>
    <t xml:space="preserve">  Changes in Working Capital:</t>
  </si>
  <si>
    <t xml:space="preserve">    Accounts Receivable</t>
  </si>
  <si>
    <t xml:space="preserve">    Prepaid Expenses &amp; Other Assets</t>
  </si>
  <si>
    <t xml:space="preserve">    Accounts Payable</t>
  </si>
  <si>
    <t xml:space="preserve">    Accrued &amp; Other Liabilities</t>
  </si>
  <si>
    <t xml:space="preserve">    Deferred Revenue</t>
  </si>
  <si>
    <t xml:space="preserve">    Operating Lease, Net</t>
  </si>
  <si>
    <t>Net Cash from Operating Activities</t>
  </si>
  <si>
    <t>Cash Flows from Investing Activities</t>
  </si>
  <si>
    <t xml:space="preserve">  Acquisitions, Net of Cash</t>
  </si>
  <si>
    <t xml:space="preserve">  Purchase of Property &amp; Equipment</t>
  </si>
  <si>
    <t xml:space="preserve">  Purchase of Intangible Assets</t>
  </si>
  <si>
    <t xml:space="preserve">  Purchase of Non-Marketable Securities</t>
  </si>
  <si>
    <t xml:space="preserve">  Proceeds from Divestitures / Asset Sales</t>
  </si>
  <si>
    <t xml:space="preserve">  Other Investing Activities</t>
  </si>
  <si>
    <t>Net Cash from Investing Activities</t>
  </si>
  <si>
    <t>Cash Flows from Financing Activities</t>
  </si>
  <si>
    <t xml:space="preserve">  Proceeds from Issuance of Debt</t>
  </si>
  <si>
    <t xml:space="preserve">  Repayments of Debt</t>
  </si>
  <si>
    <t xml:space="preserve">  Repurchases of Common Stock</t>
  </si>
  <si>
    <t xml:space="preserve">  Payments of Withholding Taxes (Net Settlement)</t>
  </si>
  <si>
    <t xml:space="preserve">  Proceeds from Stock Issuance / Options</t>
  </si>
  <si>
    <t xml:space="preserve">  Principal Payments of Finance Leases</t>
  </si>
  <si>
    <t xml:space="preserve">  Other Financing Activities</t>
  </si>
  <si>
    <t>Net Cash from Financing Activities</t>
  </si>
  <si>
    <t>Effect of FX on Cash</t>
  </si>
  <si>
    <t>Non-Classified Cash Flows</t>
  </si>
  <si>
    <t>Net Change in Cash</t>
  </si>
  <si>
    <t>Cash at Beginning of Period</t>
  </si>
  <si>
    <t>Cash at End of Period</t>
  </si>
  <si>
    <t>Historical Periods</t>
  </si>
  <si>
    <t xml:space="preserve">  Restricted Cash &amp; Other</t>
  </si>
  <si>
    <t xml:space="preserve">  Other Current Liabilities</t>
  </si>
  <si>
    <t xml:space="preserve">  Convertible Preferred Stock</t>
  </si>
  <si>
    <t>Net Working Capital</t>
  </si>
  <si>
    <t>USD in millions, unless otherwise stated</t>
  </si>
  <si>
    <t>For Fiscal Year Ending</t>
  </si>
  <si>
    <t>2026E</t>
  </si>
  <si>
    <t>2027E</t>
  </si>
  <si>
    <t>2028E</t>
  </si>
  <si>
    <t>2029E</t>
  </si>
  <si>
    <t>2030E</t>
  </si>
  <si>
    <t>Projected Periods</t>
  </si>
  <si>
    <t>Total Current Operating Assets</t>
  </si>
  <si>
    <t>Total Current Operating Liabilities</t>
  </si>
  <si>
    <t>Change in NWC</t>
  </si>
  <si>
    <t>Metrics &amp; Drivers</t>
  </si>
  <si>
    <t>2031E</t>
  </si>
  <si>
    <t>Sales &amp; Marketing</t>
  </si>
  <si>
    <t>Research &amp; Development</t>
  </si>
  <si>
    <t>General &amp; Administrative</t>
  </si>
  <si>
    <t>Depreciation &amp; Amortization</t>
  </si>
  <si>
    <t>Stock-Based Compensation</t>
  </si>
  <si>
    <t>Capital Expenditures</t>
  </si>
  <si>
    <t>Interest Expense</t>
  </si>
  <si>
    <t>Effective Tax Rate</t>
  </si>
  <si>
    <t>NWC Drivers (% of Revenue)</t>
  </si>
  <si>
    <t>Accounts Receivable</t>
  </si>
  <si>
    <t>Prepaid Expenses &amp; Other</t>
  </si>
  <si>
    <t>Accounts Payable</t>
  </si>
  <si>
    <t>Accrued &amp; Other Current Liab.</t>
  </si>
  <si>
    <t>Costs &amp; Margins:</t>
  </si>
  <si>
    <t>Other Operating Items:</t>
  </si>
  <si>
    <t>Other Income / Expense:</t>
  </si>
  <si>
    <t>Taxes:</t>
  </si>
  <si>
    <t>% growth</t>
  </si>
  <si>
    <t>Base</t>
  </si>
  <si>
    <t>Bull</t>
  </si>
  <si>
    <t>Bear</t>
  </si>
  <si>
    <t>% revenue</t>
  </si>
  <si>
    <t>Historical rate</t>
  </si>
  <si>
    <t>Operating Case Scenarios</t>
  </si>
  <si>
    <t>Operating Case</t>
  </si>
  <si>
    <t>Ticker</t>
  </si>
  <si>
    <t>Dsiplay Name</t>
  </si>
  <si>
    <t>Valuation Date</t>
  </si>
  <si>
    <t>Shares Outstanding (M)</t>
  </si>
  <si>
    <t>AppLovin Corp.</t>
  </si>
  <si>
    <t>NASDAQ: APP.O</t>
  </si>
  <si>
    <t>APPLOVIN CORP</t>
  </si>
  <si>
    <t>01.03.2026</t>
  </si>
  <si>
    <t>Active Case:</t>
  </si>
  <si>
    <t>Weighted Average Cost of Capital</t>
  </si>
  <si>
    <t>Inputs</t>
  </si>
  <si>
    <t>Cost of Debt Calculation</t>
  </si>
  <si>
    <t>Risk-Free Rate</t>
  </si>
  <si>
    <t>Equity Risk Premium</t>
  </si>
  <si>
    <t>Pre-Tax Cost of Debt</t>
  </si>
  <si>
    <t>Diluted Shares Outstanding (mm)</t>
  </si>
  <si>
    <t>After-Tax Cost of Debt</t>
  </si>
  <si>
    <t>Market Value of Debt</t>
  </si>
  <si>
    <t>Cost of Equity Calculation</t>
  </si>
  <si>
    <t>Beta</t>
  </si>
  <si>
    <t>Cost of Equity</t>
  </si>
  <si>
    <t>Weighted Average Cost of Capital Calculation</t>
  </si>
  <si>
    <t>Total Value</t>
  </si>
  <si>
    <t>%</t>
  </si>
  <si>
    <t>Cost</t>
  </si>
  <si>
    <t>Market Value of Equity</t>
  </si>
  <si>
    <t>Total</t>
  </si>
  <si>
    <t>Credit Spread on BBB Rating</t>
  </si>
  <si>
    <t>Current Share Price ($ not in mm)</t>
  </si>
  <si>
    <t>Discounted Cash Flow Analysis</t>
  </si>
  <si>
    <t>Total Revenues</t>
  </si>
  <si>
    <t>% margin</t>
  </si>
  <si>
    <t>EBIT</t>
  </si>
  <si>
    <t>Taxes</t>
  </si>
  <si>
    <t>% effective tax rate</t>
  </si>
  <si>
    <t>NOPAT</t>
  </si>
  <si>
    <t>(+) D&amp;A</t>
  </si>
  <si>
    <t>(-) CapEx</t>
  </si>
  <si>
    <t>(-) Change in NWC</t>
  </si>
  <si>
    <t>Unlevered Free Cash Flow (UFCF)</t>
  </si>
  <si>
    <t>WACC:</t>
  </si>
  <si>
    <t>Discount Period</t>
  </si>
  <si>
    <t>Discount Factor</t>
  </si>
  <si>
    <t>Present Value of UFCF</t>
  </si>
  <si>
    <t>Sum of Present Value Cash Flows</t>
  </si>
  <si>
    <t>Exit Multiple Method</t>
  </si>
  <si>
    <t>2031E EBITDA</t>
  </si>
  <si>
    <t>Terminal Multiple</t>
  </si>
  <si>
    <t>Terminal Value</t>
  </si>
  <si>
    <t>Present Value of Terminal Value</t>
  </si>
  <si>
    <t>Sum of Cash Flows</t>
  </si>
  <si>
    <t>Total Enterprise Value</t>
  </si>
  <si>
    <t>Implied PGR</t>
  </si>
  <si>
    <t>Less: Debt</t>
  </si>
  <si>
    <t>Plus: Cash</t>
  </si>
  <si>
    <t>Total Equity Value</t>
  </si>
  <si>
    <t>Implied Share Price</t>
  </si>
  <si>
    <t>Upside / (Downside)</t>
  </si>
  <si>
    <t>2025A</t>
  </si>
  <si>
    <t>Terminal Value:</t>
  </si>
  <si>
    <t>Exit Multiple (EV/EBITDA)</t>
  </si>
  <si>
    <t>Exit Multiple</t>
  </si>
  <si>
    <t>DCF Sensitivity Analysis: Upside / (Downside) - Exit Multiple Method</t>
  </si>
  <si>
    <t>Analyst: Bhavya Patel</t>
  </si>
  <si>
    <t>AppLovin (APP.O) Financial Model</t>
  </si>
  <si>
    <t>Sipher Street</t>
  </si>
  <si>
    <t>Peer Median Re-levered Beta</t>
  </si>
  <si>
    <t>AppLovin Share Price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</si>
</sst>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.0;\(#,##0.0\);&quot;—&quot;"/>
    <numFmt numFmtId="166" formatCode="#,##0.00;\(#,##0.00\);&quot;—&quot;"/>
    <numFmt numFmtId="167" formatCode="#,##0.0;\(#,##0.0\);&quot;-&quot;"/>
    <numFmt numFmtId="168" formatCode="0.0%"/>
    <numFmt numFmtId="169" formatCode="0.0%;\(0.0%\)"/>
    <numFmt numFmtId="170" formatCode="0.00\x"/>
    <numFmt numFmtId="171" formatCode="&quot;£&quot;#,##0.00"/>
    <numFmt numFmtId="172" formatCode="0.0"/>
    <numFmt numFmtId="173" formatCode="0.0\x"/>
    <numFmt numFmtId="175" formatCode="[$$-409]#,##0.00"/>
  </numFmts>
  <fonts count="40" x14ac:knownFonts="1">
    <font>
      <sz val="12"/>
      <color theme="1"/>
      <name val="Garamond"/>
      <family val="2"/>
    </font>
    <font>
      <sz val="12"/>
      <color theme="1"/>
      <name val="Garamond"/>
      <family val="2"/>
    </font>
    <font>
      <sz val="12"/>
      <color rgb="FF9C5700"/>
      <name val="Garamond"/>
      <family val="2"/>
    </font>
    <font>
      <sz val="12"/>
      <color theme="0"/>
      <name val="Garamond"/>
      <family val="2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i/>
      <sz val="10"/>
      <color theme="1"/>
      <name val="Garamond"/>
      <family val="1"/>
    </font>
    <font>
      <b/>
      <sz val="11"/>
      <color rgb="FF0000FF"/>
      <name val="Garamond"/>
      <family val="1"/>
    </font>
    <font>
      <sz val="11"/>
      <color rgb="FF0000FF"/>
      <name val="Garamond"/>
      <family val="1"/>
    </font>
    <font>
      <b/>
      <sz val="11"/>
      <color rgb="FF000000"/>
      <name val="Garamond"/>
      <family val="1"/>
    </font>
    <font>
      <b/>
      <sz val="13"/>
      <color theme="1"/>
      <name val="Garamond"/>
      <family val="1"/>
    </font>
    <font>
      <sz val="11"/>
      <color rgb="FF008000"/>
      <name val="Garamond"/>
      <family val="1"/>
    </font>
    <font>
      <b/>
      <sz val="13"/>
      <color rgb="FF000000"/>
      <name val="Garamond"/>
      <family val="1"/>
    </font>
    <font>
      <i/>
      <sz val="10"/>
      <color rgb="FF000000"/>
      <name val="Garamond"/>
      <family val="1"/>
    </font>
    <font>
      <sz val="11"/>
      <color rgb="FF000000"/>
      <name val="Garamond"/>
      <family val="2"/>
    </font>
    <font>
      <sz val="11"/>
      <color rgb="FF000000"/>
      <name val="Garamond"/>
      <family val="1"/>
    </font>
    <font>
      <b/>
      <u/>
      <sz val="11"/>
      <color rgb="FF000000"/>
      <name val="Garamond"/>
      <family val="1"/>
    </font>
    <font>
      <b/>
      <sz val="11"/>
      <color rgb="FF008000"/>
      <name val="Garamond"/>
      <family val="1"/>
    </font>
    <font>
      <i/>
      <sz val="11"/>
      <color rgb="FF000000"/>
      <name val="Garamond"/>
      <family val="1"/>
    </font>
    <font>
      <sz val="11"/>
      <color theme="1"/>
      <name val="Garamond"/>
      <family val="2"/>
    </font>
    <font>
      <i/>
      <sz val="11"/>
      <color rgb="FF0000FF"/>
      <name val="Garamond"/>
      <family val="1"/>
    </font>
    <font>
      <i/>
      <sz val="11"/>
      <color rgb="FF000000"/>
      <name val="Garamond"/>
      <family val="2"/>
    </font>
    <font>
      <i/>
      <sz val="11"/>
      <color rgb="FF0000FF"/>
      <name val="Garamond"/>
      <family val="2"/>
    </font>
    <font>
      <b/>
      <sz val="18"/>
      <color theme="1"/>
      <name val="Garamond"/>
      <family val="1"/>
    </font>
    <font>
      <sz val="9"/>
      <color indexed="81"/>
      <name val="Tahoma"/>
      <family val="2"/>
    </font>
    <font>
      <i/>
      <sz val="12"/>
      <color theme="1"/>
      <name val="Garamond"/>
      <family val="1"/>
    </font>
    <font>
      <b/>
      <sz val="12"/>
      <color theme="0"/>
      <name val="Garamond"/>
      <family val="1"/>
    </font>
    <font>
      <b/>
      <sz val="13"/>
      <color rgb="FF000000"/>
      <name val="Garamond"/>
      <family val="1"/>
    </font>
    <font>
      <sz val="11"/>
      <color rgb="FF000000"/>
      <name val="Garamond"/>
      <family val="1"/>
    </font>
    <font>
      <sz val="11"/>
      <color rgb="FF0000FF"/>
      <name val="Garamond"/>
      <family val="1"/>
    </font>
    <font>
      <sz val="11"/>
      <color rgb="FF008000"/>
      <name val="Garamond"/>
      <family val="1"/>
    </font>
    <font>
      <b/>
      <sz val="11"/>
      <color rgb="FF000000"/>
      <name val="Garamond"/>
      <family val="1"/>
    </font>
    <font>
      <sz val="11"/>
      <color theme="1"/>
      <name val="Garamond"/>
      <family val="1"/>
    </font>
    <font>
      <i/>
      <sz val="10"/>
      <color rgb="FF000000"/>
      <name val="Garamond"/>
      <family val="1"/>
    </font>
    <font>
      <b/>
      <sz val="11"/>
      <color rgb="FF008000"/>
      <name val="Garamond"/>
      <family val="1"/>
    </font>
    <font>
      <i/>
      <sz val="11"/>
      <color rgb="FF000000"/>
      <name val="Garamond"/>
      <family val="1"/>
    </font>
    <font>
      <b/>
      <sz val="11"/>
      <color theme="1"/>
      <name val="Garamond"/>
      <family val="1"/>
    </font>
    <font>
      <i/>
      <sz val="11"/>
      <color rgb="FF0000FF"/>
      <name val="Garamond"/>
      <family val="1"/>
    </font>
    <font>
      <sz val="16"/>
      <color theme="1"/>
      <name val="Garamond"/>
      <family val="2"/>
    </font>
    <font>
      <sz val="14"/>
      <color theme="1"/>
      <name val="Garamond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D6E4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rgb="FF000000"/>
      </right>
      <top/>
      <bottom style="thick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2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6" borderId="4" xfId="0" applyFont="1" applyFill="1" applyBorder="1"/>
    <xf numFmtId="165" fontId="7" fillId="6" borderId="4" xfId="0" applyNumberFormat="1" applyFont="1" applyFill="1" applyBorder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6" borderId="4" xfId="0" applyNumberFormat="1" applyFont="1" applyFill="1" applyBorder="1" applyAlignment="1">
      <alignment horizontal="right"/>
    </xf>
    <xf numFmtId="165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10" fillId="0" borderId="0" xfId="0" applyFont="1"/>
    <xf numFmtId="0" fontId="4" fillId="6" borderId="3" xfId="0" applyFont="1" applyFill="1" applyBorder="1"/>
    <xf numFmtId="0" fontId="4" fillId="6" borderId="7" xfId="0" applyFont="1" applyFill="1" applyBorder="1"/>
    <xf numFmtId="165" fontId="9" fillId="6" borderId="7" xfId="0" applyNumberFormat="1" applyFont="1" applyFill="1" applyBorder="1" applyAlignment="1">
      <alignment horizontal="right"/>
    </xf>
    <xf numFmtId="165" fontId="11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4" fillId="6" borderId="8" xfId="0" applyFont="1" applyFill="1" applyBorder="1"/>
    <xf numFmtId="165" fontId="9" fillId="6" borderId="8" xfId="0" applyNumberFormat="1" applyFont="1" applyFill="1" applyBorder="1" applyAlignment="1">
      <alignment horizontal="right"/>
    </xf>
    <xf numFmtId="0" fontId="5" fillId="7" borderId="0" xfId="0" applyFont="1" applyFill="1"/>
    <xf numFmtId="165" fontId="8" fillId="7" borderId="0" xfId="0" applyNumberFormat="1" applyFont="1" applyFill="1" applyAlignment="1">
      <alignment horizontal="right"/>
    </xf>
    <xf numFmtId="165" fontId="9" fillId="6" borderId="3" xfId="0" applyNumberFormat="1" applyFont="1" applyFill="1" applyBorder="1" applyAlignment="1">
      <alignment horizontal="right"/>
    </xf>
    <xf numFmtId="0" fontId="12" fillId="7" borderId="0" xfId="0" applyFont="1" applyFill="1"/>
    <xf numFmtId="0" fontId="13" fillId="7" borderId="0" xfId="0" applyFont="1" applyFill="1"/>
    <xf numFmtId="0" fontId="14" fillId="0" borderId="0" xfId="0" applyFont="1"/>
    <xf numFmtId="0" fontId="16" fillId="7" borderId="0" xfId="0" applyFont="1" applyFill="1"/>
    <xf numFmtId="0" fontId="15" fillId="7" borderId="0" xfId="0" applyFont="1" applyFill="1"/>
    <xf numFmtId="167" fontId="11" fillId="7" borderId="0" xfId="0" applyNumberFormat="1" applyFont="1" applyFill="1" applyAlignment="1">
      <alignment horizontal="right"/>
    </xf>
    <xf numFmtId="0" fontId="18" fillId="0" borderId="0" xfId="0" applyFont="1"/>
    <xf numFmtId="0" fontId="18" fillId="7" borderId="0" xfId="0" applyFont="1" applyFill="1"/>
    <xf numFmtId="0" fontId="19" fillId="0" borderId="0" xfId="0" applyFont="1"/>
    <xf numFmtId="0" fontId="0" fillId="0" borderId="10" xfId="0" applyBorder="1"/>
    <xf numFmtId="0" fontId="9" fillId="6" borderId="5" xfId="0" applyFont="1" applyFill="1" applyBorder="1"/>
    <xf numFmtId="167" fontId="9" fillId="6" borderId="5" xfId="0" applyNumberFormat="1" applyFont="1" applyFill="1" applyBorder="1" applyAlignment="1">
      <alignment horizontal="right"/>
    </xf>
    <xf numFmtId="0" fontId="9" fillId="6" borderId="12" xfId="0" applyFont="1" applyFill="1" applyBorder="1"/>
    <xf numFmtId="167" fontId="9" fillId="6" borderId="12" xfId="0" applyNumberFormat="1" applyFont="1" applyFill="1" applyBorder="1" applyAlignment="1">
      <alignment horizontal="right"/>
    </xf>
    <xf numFmtId="0" fontId="0" fillId="0" borderId="5" xfId="0" applyBorder="1"/>
    <xf numFmtId="0" fontId="0" fillId="0" borderId="1" xfId="0" applyBorder="1"/>
    <xf numFmtId="0" fontId="9" fillId="0" borderId="12" xfId="0" applyFont="1" applyBorder="1"/>
    <xf numFmtId="167" fontId="17" fillId="0" borderId="12" xfId="0" applyNumberFormat="1" applyFont="1" applyBorder="1" applyAlignment="1">
      <alignment horizontal="right"/>
    </xf>
    <xf numFmtId="167" fontId="17" fillId="0" borderId="13" xfId="0" applyNumberFormat="1" applyFont="1" applyBorder="1" applyAlignment="1">
      <alignment horizontal="right"/>
    </xf>
    <xf numFmtId="167" fontId="9" fillId="0" borderId="12" xfId="0" applyNumberFormat="1" applyFont="1" applyBorder="1" applyAlignment="1">
      <alignment horizontal="right"/>
    </xf>
    <xf numFmtId="0" fontId="9" fillId="0" borderId="0" xfId="0" applyFont="1"/>
    <xf numFmtId="167" fontId="17" fillId="0" borderId="0" xfId="0" applyNumberFormat="1" applyFont="1" applyAlignment="1">
      <alignment horizontal="right"/>
    </xf>
    <xf numFmtId="167" fontId="17" fillId="0" borderId="11" xfId="0" applyNumberFormat="1" applyFont="1" applyBorder="1" applyAlignment="1">
      <alignment horizontal="right"/>
    </xf>
    <xf numFmtId="167" fontId="9" fillId="0" borderId="0" xfId="0" applyNumberFormat="1" applyFont="1" applyAlignment="1">
      <alignment horizontal="right"/>
    </xf>
    <xf numFmtId="168" fontId="9" fillId="0" borderId="0" xfId="0" applyNumberFormat="1" applyFont="1" applyAlignment="1">
      <alignment horizontal="right"/>
    </xf>
    <xf numFmtId="168" fontId="18" fillId="7" borderId="0" xfId="0" applyNumberFormat="1" applyFont="1" applyFill="1" applyAlignment="1">
      <alignment horizontal="right"/>
    </xf>
    <xf numFmtId="168" fontId="18" fillId="7" borderId="11" xfId="0" applyNumberFormat="1" applyFont="1" applyFill="1" applyBorder="1" applyAlignment="1">
      <alignment horizontal="right"/>
    </xf>
    <xf numFmtId="168" fontId="18" fillId="0" borderId="0" xfId="0" applyNumberFormat="1" applyFont="1" applyAlignment="1">
      <alignment horizontal="right"/>
    </xf>
    <xf numFmtId="168" fontId="18" fillId="0" borderId="11" xfId="0" applyNumberFormat="1" applyFont="1" applyBorder="1" applyAlignment="1">
      <alignment horizontal="right"/>
    </xf>
    <xf numFmtId="168" fontId="20" fillId="8" borderId="0" xfId="0" applyNumberFormat="1" applyFont="1" applyFill="1" applyAlignment="1">
      <alignment horizontal="right"/>
    </xf>
    <xf numFmtId="167" fontId="20" fillId="8" borderId="0" xfId="0" applyNumberFormat="1" applyFont="1" applyFill="1" applyAlignment="1">
      <alignment horizontal="right"/>
    </xf>
    <xf numFmtId="0" fontId="19" fillId="0" borderId="11" xfId="0" applyFont="1" applyBorder="1"/>
    <xf numFmtId="0" fontId="21" fillId="0" borderId="0" xfId="0" applyFont="1"/>
    <xf numFmtId="0" fontId="14" fillId="0" borderId="11" xfId="0" applyFont="1" applyBorder="1"/>
    <xf numFmtId="168" fontId="22" fillId="8" borderId="0" xfId="1" applyNumberFormat="1" applyFont="1" applyFill="1" applyAlignment="1">
      <alignment horizontal="right"/>
    </xf>
    <xf numFmtId="0" fontId="15" fillId="7" borderId="14" xfId="0" applyFont="1" applyFill="1" applyBorder="1"/>
    <xf numFmtId="0" fontId="19" fillId="0" borderId="14" xfId="0" applyFont="1" applyBorder="1"/>
    <xf numFmtId="0" fontId="19" fillId="0" borderId="15" xfId="0" applyFont="1" applyBorder="1"/>
    <xf numFmtId="0" fontId="5" fillId="0" borderId="14" xfId="0" applyFont="1" applyBorder="1"/>
    <xf numFmtId="0" fontId="15" fillId="0" borderId="14" xfId="0" applyFont="1" applyBorder="1"/>
    <xf numFmtId="0" fontId="15" fillId="0" borderId="0" xfId="0" applyFont="1"/>
    <xf numFmtId="168" fontId="14" fillId="0" borderId="0" xfId="1" applyNumberFormat="1" applyFont="1" applyFill="1" applyBorder="1" applyAlignment="1">
      <alignment horizontal="right"/>
    </xf>
    <xf numFmtId="167" fontId="15" fillId="0" borderId="0" xfId="0" applyNumberFormat="1" applyFont="1" applyAlignment="1">
      <alignment horizontal="right"/>
    </xf>
    <xf numFmtId="167" fontId="11" fillId="0" borderId="0" xfId="0" applyNumberFormat="1" applyFont="1" applyAlignment="1">
      <alignment horizontal="right"/>
    </xf>
    <xf numFmtId="167" fontId="11" fillId="7" borderId="10" xfId="0" applyNumberFormat="1" applyFont="1" applyFill="1" applyBorder="1" applyAlignment="1">
      <alignment horizontal="right"/>
    </xf>
    <xf numFmtId="167" fontId="9" fillId="6" borderId="16" xfId="0" applyNumberFormat="1" applyFont="1" applyFill="1" applyBorder="1" applyAlignment="1">
      <alignment horizontal="right"/>
    </xf>
    <xf numFmtId="167" fontId="9" fillId="6" borderId="17" xfId="0" applyNumberFormat="1" applyFont="1" applyFill="1" applyBorder="1" applyAlignment="1">
      <alignment horizontal="right"/>
    </xf>
    <xf numFmtId="0" fontId="9" fillId="6" borderId="19" xfId="0" applyFont="1" applyFill="1" applyBorder="1"/>
    <xf numFmtId="167" fontId="9" fillId="6" borderId="19" xfId="0" applyNumberFormat="1" applyFont="1" applyFill="1" applyBorder="1" applyAlignment="1">
      <alignment horizontal="right"/>
    </xf>
    <xf numFmtId="167" fontId="9" fillId="6" borderId="20" xfId="0" applyNumberFormat="1" applyFont="1" applyFill="1" applyBorder="1" applyAlignment="1">
      <alignment horizontal="right"/>
    </xf>
    <xf numFmtId="167" fontId="9" fillId="6" borderId="19" xfId="0" applyNumberFormat="1" applyFont="1" applyFill="1" applyBorder="1"/>
    <xf numFmtId="0" fontId="9" fillId="7" borderId="0" xfId="0" applyFont="1" applyFill="1" applyAlignment="1">
      <alignment horizontal="centerContinuous"/>
    </xf>
    <xf numFmtId="0" fontId="0" fillId="0" borderId="0" xfId="0" applyAlignment="1">
      <alignment horizontal="centerContinuous"/>
    </xf>
    <xf numFmtId="0" fontId="23" fillId="0" borderId="0" xfId="0" applyFont="1"/>
    <xf numFmtId="0" fontId="0" fillId="0" borderId="21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2" xfId="0" applyBorder="1" applyAlignment="1">
      <alignment horizontal="centerContinuous"/>
    </xf>
    <xf numFmtId="0" fontId="0" fillId="0" borderId="23" xfId="0" applyBorder="1"/>
    <xf numFmtId="0" fontId="0" fillId="0" borderId="12" xfId="0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1" xfId="0" applyBorder="1" applyAlignment="1">
      <alignment horizontal="center"/>
    </xf>
    <xf numFmtId="0" fontId="0" fillId="0" borderId="26" xfId="0" applyBorder="1" applyAlignment="1">
      <alignment horizontal="right"/>
    </xf>
    <xf numFmtId="2" fontId="0" fillId="0" borderId="12" xfId="0" applyNumberFormat="1" applyBorder="1" applyAlignment="1">
      <alignment horizontal="center" vertic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center"/>
    </xf>
    <xf numFmtId="169" fontId="25" fillId="0" borderId="0" xfId="0" applyNumberFormat="1" applyFont="1"/>
    <xf numFmtId="0" fontId="27" fillId="7" borderId="0" xfId="0" applyFont="1" applyFill="1"/>
    <xf numFmtId="0" fontId="28" fillId="7" borderId="27" xfId="0" applyFont="1" applyFill="1" applyBorder="1"/>
    <xf numFmtId="10" fontId="29" fillId="7" borderId="9" xfId="0" applyNumberFormat="1" applyFont="1" applyFill="1" applyBorder="1" applyAlignment="1">
      <alignment horizontal="right"/>
    </xf>
    <xf numFmtId="170" fontId="29" fillId="7" borderId="9" xfId="0" applyNumberFormat="1" applyFont="1" applyFill="1" applyBorder="1" applyAlignment="1">
      <alignment horizontal="right"/>
    </xf>
    <xf numFmtId="4" fontId="30" fillId="7" borderId="9" xfId="0" applyNumberFormat="1" applyFont="1" applyFill="1" applyBorder="1" applyAlignment="1">
      <alignment horizontal="right"/>
    </xf>
    <xf numFmtId="0" fontId="28" fillId="7" borderId="25" xfId="0" applyFont="1" applyFill="1" applyBorder="1"/>
    <xf numFmtId="3" fontId="30" fillId="7" borderId="26" xfId="0" applyNumberFormat="1" applyFont="1" applyFill="1" applyBorder="1" applyAlignment="1">
      <alignment horizontal="right"/>
    </xf>
    <xf numFmtId="0" fontId="28" fillId="7" borderId="21" xfId="0" applyFont="1" applyFill="1" applyBorder="1"/>
    <xf numFmtId="10" fontId="28" fillId="7" borderId="22" xfId="0" applyNumberFormat="1" applyFont="1" applyFill="1" applyBorder="1" applyAlignment="1">
      <alignment horizontal="right"/>
    </xf>
    <xf numFmtId="0" fontId="31" fillId="7" borderId="27" xfId="0" applyFont="1" applyFill="1" applyBorder="1"/>
    <xf numFmtId="10" fontId="31" fillId="7" borderId="9" xfId="0" applyNumberFormat="1" applyFont="1" applyFill="1" applyBorder="1" applyAlignment="1">
      <alignment horizontal="right"/>
    </xf>
    <xf numFmtId="10" fontId="28" fillId="7" borderId="9" xfId="0" applyNumberFormat="1" applyFont="1" applyFill="1" applyBorder="1" applyAlignment="1">
      <alignment horizontal="right"/>
    </xf>
    <xf numFmtId="0" fontId="31" fillId="6" borderId="25" xfId="0" applyFont="1" applyFill="1" applyBorder="1"/>
    <xf numFmtId="10" fontId="31" fillId="6" borderId="26" xfId="0" applyNumberFormat="1" applyFont="1" applyFill="1" applyBorder="1" applyAlignment="1">
      <alignment horizontal="right"/>
    </xf>
    <xf numFmtId="170" fontId="28" fillId="7" borderId="9" xfId="0" applyNumberFormat="1" applyFont="1" applyFill="1" applyBorder="1" applyAlignment="1">
      <alignment horizontal="right"/>
    </xf>
    <xf numFmtId="3" fontId="28" fillId="7" borderId="0" xfId="0" applyNumberFormat="1" applyFont="1" applyFill="1" applyAlignment="1">
      <alignment horizontal="left"/>
    </xf>
    <xf numFmtId="10" fontId="28" fillId="7" borderId="5" xfId="0" applyNumberFormat="1" applyFont="1" applyFill="1" applyBorder="1" applyAlignment="1">
      <alignment horizontal="right"/>
    </xf>
    <xf numFmtId="10" fontId="28" fillId="7" borderId="0" xfId="0" applyNumberFormat="1" applyFont="1" applyFill="1" applyAlignment="1">
      <alignment horizontal="right"/>
    </xf>
    <xf numFmtId="0" fontId="31" fillId="6" borderId="23" xfId="0" applyFont="1" applyFill="1" applyBorder="1"/>
    <xf numFmtId="3" fontId="31" fillId="6" borderId="12" xfId="0" applyNumberFormat="1" applyFont="1" applyFill="1" applyBorder="1" applyAlignment="1">
      <alignment horizontal="left"/>
    </xf>
    <xf numFmtId="10" fontId="31" fillId="6" borderId="12" xfId="0" applyNumberFormat="1" applyFont="1" applyFill="1" applyBorder="1" applyAlignment="1">
      <alignment horizontal="right"/>
    </xf>
    <xf numFmtId="10" fontId="31" fillId="6" borderId="24" xfId="0" applyNumberFormat="1" applyFont="1" applyFill="1" applyBorder="1" applyAlignment="1">
      <alignment horizontal="right"/>
    </xf>
    <xf numFmtId="0" fontId="32" fillId="6" borderId="1" xfId="0" applyFont="1" applyFill="1" applyBorder="1"/>
    <xf numFmtId="0" fontId="32" fillId="7" borderId="5" xfId="0" applyFont="1" applyFill="1" applyBorder="1"/>
    <xf numFmtId="0" fontId="32" fillId="7" borderId="0" xfId="0" applyFont="1" applyFill="1"/>
    <xf numFmtId="0" fontId="31" fillId="6" borderId="12" xfId="0" applyFont="1" applyFill="1" applyBorder="1"/>
    <xf numFmtId="0" fontId="33" fillId="7" borderId="0" xfId="0" applyFont="1" applyFill="1"/>
    <xf numFmtId="0" fontId="31" fillId="7" borderId="0" xfId="0" applyFont="1" applyFill="1"/>
    <xf numFmtId="164" fontId="34" fillId="7" borderId="0" xfId="0" applyNumberFormat="1" applyFont="1" applyFill="1" applyAlignment="1">
      <alignment horizontal="right"/>
    </xf>
    <xf numFmtId="0" fontId="35" fillId="7" borderId="0" xfId="0" applyFont="1" applyFill="1"/>
    <xf numFmtId="168" fontId="35" fillId="7" borderId="0" xfId="0" applyNumberFormat="1" applyFont="1" applyFill="1" applyAlignment="1">
      <alignment horizontal="right"/>
    </xf>
    <xf numFmtId="0" fontId="28" fillId="7" borderId="0" xfId="0" applyFont="1" applyFill="1"/>
    <xf numFmtId="164" fontId="30" fillId="7" borderId="0" xfId="0" applyNumberFormat="1" applyFont="1" applyFill="1" applyAlignment="1">
      <alignment horizontal="right"/>
    </xf>
    <xf numFmtId="164" fontId="28" fillId="7" borderId="0" xfId="0" applyNumberFormat="1" applyFont="1" applyFill="1" applyAlignment="1">
      <alignment horizontal="right"/>
    </xf>
    <xf numFmtId="0" fontId="31" fillId="7" borderId="0" xfId="0" applyFont="1" applyFill="1" applyAlignment="1">
      <alignment horizontal="right"/>
    </xf>
    <xf numFmtId="172" fontId="28" fillId="7" borderId="0" xfId="0" applyNumberFormat="1" applyFont="1" applyFill="1" applyAlignment="1">
      <alignment horizontal="right"/>
    </xf>
    <xf numFmtId="2" fontId="28" fillId="7" borderId="0" xfId="0" applyNumberFormat="1" applyFont="1" applyFill="1" applyAlignment="1">
      <alignment horizontal="right"/>
    </xf>
    <xf numFmtId="164" fontId="31" fillId="6" borderId="12" xfId="0" applyNumberFormat="1" applyFont="1" applyFill="1" applyBorder="1" applyAlignment="1">
      <alignment horizontal="right"/>
    </xf>
    <xf numFmtId="0" fontId="31" fillId="6" borderId="18" xfId="0" applyFont="1" applyFill="1" applyBorder="1"/>
    <xf numFmtId="164" fontId="31" fillId="6" borderId="18" xfId="0" applyNumberFormat="1" applyFont="1" applyFill="1" applyBorder="1" applyAlignment="1">
      <alignment horizontal="right"/>
    </xf>
    <xf numFmtId="0" fontId="36" fillId="6" borderId="12" xfId="0" applyFont="1" applyFill="1" applyBorder="1"/>
    <xf numFmtId="0" fontId="36" fillId="6" borderId="18" xfId="0" applyFont="1" applyFill="1" applyBorder="1"/>
    <xf numFmtId="0" fontId="31" fillId="6" borderId="30" xfId="0" applyFont="1" applyFill="1" applyBorder="1"/>
    <xf numFmtId="164" fontId="31" fillId="6" borderId="31" xfId="0" applyNumberFormat="1" applyFont="1" applyFill="1" applyBorder="1" applyAlignment="1">
      <alignment horizontal="right"/>
    </xf>
    <xf numFmtId="164" fontId="30" fillId="7" borderId="9" xfId="0" applyNumberFormat="1" applyFont="1" applyFill="1" applyBorder="1" applyAlignment="1">
      <alignment horizontal="right"/>
    </xf>
    <xf numFmtId="164" fontId="31" fillId="6" borderId="24" xfId="0" applyNumberFormat="1" applyFont="1" applyFill="1" applyBorder="1" applyAlignment="1">
      <alignment horizontal="right"/>
    </xf>
    <xf numFmtId="168" fontId="35" fillId="7" borderId="9" xfId="0" applyNumberFormat="1" applyFont="1" applyFill="1" applyBorder="1" applyAlignment="1">
      <alignment horizontal="right"/>
    </xf>
    <xf numFmtId="164" fontId="28" fillId="7" borderId="9" xfId="0" applyNumberFormat="1" applyFont="1" applyFill="1" applyBorder="1" applyAlignment="1">
      <alignment horizontal="right"/>
    </xf>
    <xf numFmtId="0" fontId="0" fillId="0" borderId="34" xfId="0" applyBorder="1"/>
    <xf numFmtId="164" fontId="34" fillId="7" borderId="34" xfId="0" applyNumberFormat="1" applyFont="1" applyFill="1" applyBorder="1" applyAlignment="1">
      <alignment horizontal="right"/>
    </xf>
    <xf numFmtId="168" fontId="35" fillId="7" borderId="34" xfId="0" applyNumberFormat="1" applyFont="1" applyFill="1" applyBorder="1" applyAlignment="1">
      <alignment horizontal="right"/>
    </xf>
    <xf numFmtId="164" fontId="30" fillId="7" borderId="34" xfId="0" applyNumberFormat="1" applyFont="1" applyFill="1" applyBorder="1" applyAlignment="1">
      <alignment horizontal="right"/>
    </xf>
    <xf numFmtId="164" fontId="31" fillId="6" borderId="32" xfId="0" applyNumberFormat="1" applyFont="1" applyFill="1" applyBorder="1" applyAlignment="1">
      <alignment horizontal="right"/>
    </xf>
    <xf numFmtId="164" fontId="28" fillId="7" borderId="34" xfId="0" applyNumberFormat="1" applyFont="1" applyFill="1" applyBorder="1" applyAlignment="1">
      <alignment horizontal="right"/>
    </xf>
    <xf numFmtId="164" fontId="31" fillId="6" borderId="35" xfId="0" applyNumberFormat="1" applyFont="1" applyFill="1" applyBorder="1" applyAlignment="1">
      <alignment horizontal="right"/>
    </xf>
    <xf numFmtId="172" fontId="28" fillId="7" borderId="34" xfId="0" applyNumberFormat="1" applyFont="1" applyFill="1" applyBorder="1" applyAlignment="1">
      <alignment horizontal="right"/>
    </xf>
    <xf numFmtId="2" fontId="28" fillId="7" borderId="34" xfId="0" applyNumberFormat="1" applyFont="1" applyFill="1" applyBorder="1" applyAlignment="1">
      <alignment horizontal="right"/>
    </xf>
    <xf numFmtId="0" fontId="0" fillId="6" borderId="12" xfId="0" applyFill="1" applyBorder="1"/>
    <xf numFmtId="0" fontId="0" fillId="6" borderId="18" xfId="0" applyFill="1" applyBorder="1"/>
    <xf numFmtId="0" fontId="35" fillId="7" borderId="27" xfId="0" applyFont="1" applyFill="1" applyBorder="1"/>
    <xf numFmtId="2" fontId="28" fillId="7" borderId="9" xfId="0" applyNumberFormat="1" applyFont="1" applyFill="1" applyBorder="1" applyAlignment="1">
      <alignment horizontal="right"/>
    </xf>
    <xf numFmtId="0" fontId="35" fillId="7" borderId="25" xfId="0" applyFont="1" applyFill="1" applyBorder="1"/>
    <xf numFmtId="168" fontId="35" fillId="7" borderId="26" xfId="0" applyNumberFormat="1" applyFont="1" applyFill="1" applyBorder="1" applyAlignment="1">
      <alignment horizontal="right"/>
    </xf>
    <xf numFmtId="164" fontId="34" fillId="7" borderId="0" xfId="0" applyNumberFormat="1" applyFont="1" applyFill="1" applyAlignment="1">
      <alignment horizontal="center"/>
    </xf>
    <xf numFmtId="0" fontId="35" fillId="7" borderId="0" xfId="0" applyFont="1" applyFill="1" applyAlignment="1">
      <alignment horizontal="center"/>
    </xf>
    <xf numFmtId="164" fontId="30" fillId="7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4" fontId="31" fillId="6" borderId="12" xfId="0" applyNumberFormat="1" applyFont="1" applyFill="1" applyBorder="1" applyAlignment="1">
      <alignment horizontal="center"/>
    </xf>
    <xf numFmtId="168" fontId="35" fillId="7" borderId="0" xfId="0" applyNumberFormat="1" applyFont="1" applyFill="1" applyAlignment="1">
      <alignment horizontal="center"/>
    </xf>
    <xf numFmtId="164" fontId="28" fillId="7" borderId="0" xfId="0" applyNumberFormat="1" applyFont="1" applyFill="1" applyAlignment="1">
      <alignment horizontal="center"/>
    </xf>
    <xf numFmtId="164" fontId="31" fillId="6" borderId="18" xfId="0" applyNumberFormat="1" applyFont="1" applyFill="1" applyBorder="1" applyAlignment="1">
      <alignment horizontal="center"/>
    </xf>
    <xf numFmtId="10" fontId="34" fillId="7" borderId="29" xfId="0" applyNumberFormat="1" applyFont="1" applyFill="1" applyBorder="1" applyAlignment="1">
      <alignment horizontal="center"/>
    </xf>
    <xf numFmtId="0" fontId="31" fillId="7" borderId="36" xfId="0" applyFont="1" applyFill="1" applyBorder="1"/>
    <xf numFmtId="173" fontId="30" fillId="7" borderId="9" xfId="0" applyNumberFormat="1" applyFont="1" applyFill="1" applyBorder="1" applyAlignment="1">
      <alignment horizontal="right"/>
    </xf>
    <xf numFmtId="0" fontId="0" fillId="0" borderId="37" xfId="0" applyBorder="1"/>
    <xf numFmtId="0" fontId="0" fillId="0" borderId="39" xfId="0" applyBorder="1"/>
    <xf numFmtId="173" fontId="31" fillId="7" borderId="40" xfId="0" applyNumberFormat="1" applyFont="1" applyFill="1" applyBorder="1" applyAlignment="1">
      <alignment horizontal="right"/>
    </xf>
    <xf numFmtId="173" fontId="37" fillId="8" borderId="34" xfId="0" applyNumberFormat="1" applyFont="1" applyFill="1" applyBorder="1" applyAlignment="1">
      <alignment horizontal="right"/>
    </xf>
    <xf numFmtId="0" fontId="31" fillId="7" borderId="0" xfId="0" applyFont="1" applyFill="1" applyAlignment="1">
      <alignment horizontal="center"/>
    </xf>
    <xf numFmtId="173" fontId="31" fillId="9" borderId="28" xfId="0" applyNumberFormat="1" applyFont="1" applyFill="1" applyBorder="1" applyAlignment="1">
      <alignment horizontal="center"/>
    </xf>
    <xf numFmtId="171" fontId="31" fillId="9" borderId="42" xfId="0" applyNumberFormat="1" applyFont="1" applyFill="1" applyBorder="1" applyAlignment="1">
      <alignment horizontal="center"/>
    </xf>
    <xf numFmtId="173" fontId="31" fillId="9" borderId="41" xfId="0" applyNumberFormat="1" applyFont="1" applyFill="1" applyBorder="1" applyAlignment="1">
      <alignment horizontal="center"/>
    </xf>
    <xf numFmtId="0" fontId="31" fillId="0" borderId="0" xfId="0" applyFont="1" applyAlignment="1">
      <alignment horizontal="center" vertical="center" textRotation="90"/>
    </xf>
    <xf numFmtId="171" fontId="28" fillId="7" borderId="0" xfId="0" applyNumberFormat="1" applyFont="1" applyFill="1" applyAlignment="1">
      <alignment horizontal="center"/>
    </xf>
    <xf numFmtId="171" fontId="28" fillId="7" borderId="2" xfId="0" applyNumberFormat="1" applyFont="1" applyFill="1" applyBorder="1" applyAlignment="1">
      <alignment horizontal="center"/>
    </xf>
    <xf numFmtId="171" fontId="28" fillId="7" borderId="43" xfId="0" applyNumberFormat="1" applyFont="1" applyFill="1" applyBorder="1" applyAlignment="1">
      <alignment horizontal="center"/>
    </xf>
    <xf numFmtId="171" fontId="28" fillId="7" borderId="45" xfId="0" applyNumberFormat="1" applyFont="1" applyFill="1" applyBorder="1" applyAlignment="1">
      <alignment horizontal="center"/>
    </xf>
    <xf numFmtId="10" fontId="31" fillId="9" borderId="46" xfId="0" applyNumberFormat="1" applyFont="1" applyFill="1" applyBorder="1" applyAlignment="1">
      <alignment horizontal="center"/>
    </xf>
    <xf numFmtId="10" fontId="31" fillId="9" borderId="47" xfId="0" applyNumberFormat="1" applyFont="1" applyFill="1" applyBorder="1" applyAlignment="1">
      <alignment horizontal="center"/>
    </xf>
    <xf numFmtId="10" fontId="31" fillId="9" borderId="44" xfId="0" applyNumberFormat="1" applyFont="1" applyFill="1" applyBorder="1" applyAlignment="1">
      <alignment horizontal="center"/>
    </xf>
    <xf numFmtId="0" fontId="31" fillId="7" borderId="37" xfId="0" applyFont="1" applyFill="1" applyBorder="1" applyAlignment="1">
      <alignment horizontal="left"/>
    </xf>
    <xf numFmtId="0" fontId="31" fillId="7" borderId="37" xfId="0" applyFont="1" applyFill="1" applyBorder="1" applyAlignment="1">
      <alignment horizontal="center"/>
    </xf>
    <xf numFmtId="171" fontId="3" fillId="3" borderId="0" xfId="2" applyNumberFormat="1" applyBorder="1" applyAlignment="1">
      <alignment horizontal="center"/>
    </xf>
    <xf numFmtId="171" fontId="1" fillId="5" borderId="48" xfId="4" applyNumberFormat="1" applyBorder="1" applyAlignment="1">
      <alignment horizontal="center"/>
    </xf>
    <xf numFmtId="171" fontId="1" fillId="5" borderId="6" xfId="4" applyNumberFormat="1" applyBorder="1" applyAlignment="1">
      <alignment horizontal="center"/>
    </xf>
    <xf numFmtId="171" fontId="1" fillId="5" borderId="51" xfId="4" applyNumberFormat="1" applyBorder="1" applyAlignment="1">
      <alignment horizontal="center"/>
    </xf>
    <xf numFmtId="171" fontId="1" fillId="5" borderId="49" xfId="4" applyNumberFormat="1" applyBorder="1" applyAlignment="1">
      <alignment horizontal="center"/>
    </xf>
    <xf numFmtId="171" fontId="1" fillId="5" borderId="50" xfId="4" applyNumberFormat="1" applyBorder="1" applyAlignment="1">
      <alignment horizontal="center"/>
    </xf>
    <xf numFmtId="171" fontId="1" fillId="5" borderId="8" xfId="4" applyNumberFormat="1" applyBorder="1" applyAlignment="1">
      <alignment horizontal="center"/>
    </xf>
    <xf numFmtId="171" fontId="1" fillId="5" borderId="52" xfId="4" applyNumberFormat="1" applyBorder="1" applyAlignment="1">
      <alignment horizontal="center"/>
    </xf>
    <xf numFmtId="171" fontId="1" fillId="5" borderId="11" xfId="4" applyNumberFormat="1" applyBorder="1" applyAlignment="1">
      <alignment horizontal="center"/>
    </xf>
    <xf numFmtId="171" fontId="1" fillId="4" borderId="40" xfId="3" applyNumberFormat="1" applyBorder="1" applyAlignment="1">
      <alignment horizontal="center"/>
    </xf>
    <xf numFmtId="171" fontId="1" fillId="4" borderId="39" xfId="3" applyNumberFormat="1" applyBorder="1" applyAlignment="1">
      <alignment horizontal="center"/>
    </xf>
    <xf numFmtId="171" fontId="1" fillId="4" borderId="38" xfId="3" applyNumberFormat="1" applyBorder="1" applyAlignment="1">
      <alignment horizontal="center"/>
    </xf>
    <xf numFmtId="171" fontId="1" fillId="4" borderId="34" xfId="3" applyNumberFormat="1" applyBorder="1" applyAlignment="1">
      <alignment horizontal="center"/>
    </xf>
    <xf numFmtId="171" fontId="1" fillId="4" borderId="53" xfId="3" applyNumberFormat="1" applyBorder="1" applyAlignment="1">
      <alignment horizontal="center"/>
    </xf>
    <xf numFmtId="171" fontId="1" fillId="4" borderId="37" xfId="3" applyNumberFormat="1" applyBorder="1" applyAlignment="1">
      <alignment horizontal="center"/>
    </xf>
    <xf numFmtId="171" fontId="1" fillId="4" borderId="54" xfId="3" applyNumberFormat="1" applyBorder="1" applyAlignment="1">
      <alignment horizontal="center"/>
    </xf>
    <xf numFmtId="171" fontId="1" fillId="4" borderId="10" xfId="3" applyNumberFormat="1" applyBorder="1" applyAlignment="1">
      <alignment horizontal="center"/>
    </xf>
    <xf numFmtId="0" fontId="3" fillId="3" borderId="0" xfId="2"/>
    <xf numFmtId="0" fontId="26" fillId="3" borderId="0" xfId="2" applyFont="1"/>
    <xf numFmtId="1" fontId="26" fillId="3" borderId="5" xfId="2" applyNumberFormat="1" applyFont="1" applyBorder="1" applyAlignment="1">
      <alignment horizontal="center"/>
    </xf>
    <xf numFmtId="0" fontId="26" fillId="3" borderId="33" xfId="2" applyFont="1" applyBorder="1" applyAlignment="1">
      <alignment horizontal="center"/>
    </xf>
    <xf numFmtId="0" fontId="26" fillId="3" borderId="0" xfId="2" applyFont="1" applyAlignment="1">
      <alignment horizontal="center"/>
    </xf>
    <xf numFmtId="0" fontId="26" fillId="3" borderId="12" xfId="2" applyFont="1" applyBorder="1" applyAlignment="1">
      <alignment horizontal="center"/>
    </xf>
    <xf numFmtId="0" fontId="26" fillId="3" borderId="24" xfId="2" applyFont="1" applyBorder="1" applyAlignment="1">
      <alignment horizontal="center"/>
    </xf>
    <xf numFmtId="1" fontId="26" fillId="3" borderId="0" xfId="2" applyNumberFormat="1" applyFont="1" applyAlignment="1">
      <alignment horizontal="center"/>
    </xf>
    <xf numFmtId="1" fontId="26" fillId="3" borderId="10" xfId="2" applyNumberFormat="1" applyFont="1" applyBorder="1" applyAlignment="1">
      <alignment horizontal="center"/>
    </xf>
    <xf numFmtId="0" fontId="26" fillId="3" borderId="23" xfId="2" applyFont="1" applyBorder="1" applyAlignment="1">
      <alignment horizontal="centerContinuous"/>
    </xf>
    <xf numFmtId="0" fontId="26" fillId="3" borderId="12" xfId="2" applyFont="1" applyBorder="1" applyAlignment="1">
      <alignment horizontal="centerContinuous"/>
    </xf>
    <xf numFmtId="0" fontId="26" fillId="3" borderId="24" xfId="2" applyFont="1" applyBorder="1" applyAlignment="1">
      <alignment horizontal="centerContinuous"/>
    </xf>
    <xf numFmtId="0" fontId="26" fillId="3" borderId="23" xfId="2" applyFont="1" applyBorder="1"/>
    <xf numFmtId="0" fontId="26" fillId="3" borderId="12" xfId="2" applyFont="1" applyBorder="1"/>
    <xf numFmtId="1" fontId="26" fillId="3" borderId="12" xfId="2" applyNumberFormat="1" applyFont="1" applyBorder="1" applyAlignment="1">
      <alignment horizontal="center"/>
    </xf>
    <xf numFmtId="1" fontId="26" fillId="3" borderId="13" xfId="2" applyNumberFormat="1" applyFont="1" applyBorder="1" applyAlignment="1">
      <alignment horizontal="center"/>
    </xf>
    <xf numFmtId="0" fontId="26" fillId="3" borderId="0" xfId="2" applyFont="1" applyBorder="1" applyAlignment="1">
      <alignment horizontal="center"/>
    </xf>
    <xf numFmtId="0" fontId="26" fillId="3" borderId="2" xfId="2" applyFont="1" applyBorder="1" applyAlignment="1">
      <alignment horizontal="center"/>
    </xf>
    <xf numFmtId="0" fontId="38" fillId="0" borderId="0" xfId="0" applyFont="1"/>
    <xf numFmtId="0" fontId="39" fillId="0" borderId="1" xfId="0" applyFont="1" applyBorder="1"/>
    <xf numFmtId="0" fontId="39" fillId="0" borderId="0" xfId="0" applyFont="1"/>
    <xf numFmtId="0" fontId="39" fillId="0" borderId="0" xfId="0" applyFont="1" applyAlignment="1">
      <alignment horizontal="centerContinuous"/>
    </xf>
    <xf numFmtId="175" fontId="31" fillId="6" borderId="31" xfId="0" applyNumberFormat="1" applyFont="1" applyFill="1" applyBorder="1" applyAlignment="1">
      <alignment horizontal="right"/>
    </xf>
    <xf numFmtId="0" fontId="26" fillId="3" borderId="23" xfId="2" applyFont="1" applyBorder="1" applyAlignment="1">
      <alignment horizontal="center"/>
    </xf>
    <xf numFmtId="0" fontId="26" fillId="3" borderId="12" xfId="2" applyFont="1" applyBorder="1" applyAlignment="1">
      <alignment horizontal="center"/>
    </xf>
    <xf numFmtId="0" fontId="26" fillId="3" borderId="24" xfId="2" applyFont="1" applyBorder="1" applyAlignment="1">
      <alignment horizontal="center"/>
    </xf>
    <xf numFmtId="0" fontId="9" fillId="7" borderId="0" xfId="0" applyFont="1" applyFill="1" applyAlignment="1">
      <alignment horizontal="center"/>
    </xf>
  </cellXfs>
  <cellStyles count="5">
    <cellStyle name="20% - Accent1" xfId="3" builtinId="30"/>
    <cellStyle name="60% - Accent1" xfId="4" builtinId="32"/>
    <cellStyle name="Accent1" xfId="2" builtinId="29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351156</xdr:colOff>
      <xdr:row>1</xdr:row>
      <xdr:rowOff>106117</xdr:rowOff>
    </xdr:from>
    <xdr:to>
      <xdr:col>11</xdr:col>
      <xdr:colOff>518160</xdr:colOff>
      <xdr:row>10</xdr:row>
      <xdr:rowOff>163759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1767BD-91C8-B6E7-C10E-8C50194C76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99" t="16501" r="27078" b="12376"/>
        <a:stretch>
          <a:fillRect/>
        </a:stretch>
      </xdr:blipFill>
      <xdr:spPr bwMode="auto">
        <a:xfrm>
          <a:off x="1570356" y="304237"/>
          <a:ext cx="5653404" cy="190930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289560</xdr:colOff>
      <xdr:row>7</xdr:row>
      <xdr:rowOff>129540</xdr:rowOff>
    </xdr:from>
    <xdr:to>
      <xdr:col>11</xdr:col>
      <xdr:colOff>518160</xdr:colOff>
      <xdr:row>20</xdr:row>
      <xdr:rowOff>0</xdr:rowOff>
    </xdr:to>
    <xdr:pic>
      <xdr:nvPicPr>
        <xdr:cNvPr id="3" name="Picture 2" descr="AppLovin · GitHub">
          <a:extLst>
            <a:ext uri="{FF2B5EF4-FFF2-40B4-BE49-F238E27FC236}">
              <a16:creationId xmlns:a16="http://schemas.microsoft.com/office/drawing/2014/main" id="{6DA5D401-2B75-B571-12F7-2D43DD25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6760" y="1516380"/>
          <a:ext cx="2667000" cy="266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1" width="350" row="0">
    <wetp:webextensionref xmlns:r="http://schemas.openxmlformats.org/officeDocument/2006/relationships" r:id="rId1"/>
  </wetp:taskpane>
  <wetp:taskpane dockstate="right" visibility="0" width="350" row="2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1DDBBF1D-AC2E-4FEE-AFAD-55693607D984}">
  <we:reference id="wa200009152" version="1.0.0.4" store="en-US" storeType="OMEX"/>
  <we:alternateReferences>
    <we:reference id="WA200009152" version="1.0.0.4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AC2A3412-6B99-4C97-9A08-30421D81F2A9}">
  <we:reference id="wa200009404" version="1.0.0.8" store="en-US" storeType="OMEX"/>
  <we:alternateReferences>
    <we:reference id="wa200009404" version="1.0.0.8" store="wa200009404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98EE4-C1B5-4BDC-B264-15381C33B47C}">
  <dimension ref="C8:G17"/>
  <sheetViews>
    <sheetView showGridLines="0" tabSelected="1" workbookViewId="0"/>
  </sheetViews>
  <sheetFormatPr defaultRowHeight="15.6" x14ac:dyDescent="0.3"/>
  <sheetData>
    <row r="8" spans="3:7" ht="21" x14ac:dyDescent="0.4">
      <c r="D8" s="217"/>
      <c r="E8" s="217"/>
      <c r="F8" s="217"/>
    </row>
    <row r="9" spans="3:7" x14ac:dyDescent="0.3">
      <c r="C9" s="75"/>
      <c r="D9" s="75"/>
      <c r="E9" s="75"/>
      <c r="F9" s="75"/>
    </row>
    <row r="11" spans="3:7" x14ac:dyDescent="0.3">
      <c r="C11" s="75"/>
      <c r="D11" s="75"/>
      <c r="E11" s="75"/>
      <c r="F11" s="75"/>
    </row>
    <row r="13" spans="3:7" ht="18" x14ac:dyDescent="0.35">
      <c r="D13" s="218" t="s">
        <v>224</v>
      </c>
      <c r="E13" s="218"/>
      <c r="F13" s="218"/>
      <c r="G13" s="218"/>
    </row>
    <row r="14" spans="3:7" ht="18" x14ac:dyDescent="0.35">
      <c r="D14" s="219"/>
      <c r="E14" s="219"/>
      <c r="F14" s="219"/>
      <c r="G14" s="219"/>
    </row>
    <row r="15" spans="3:7" ht="18" x14ac:dyDescent="0.35">
      <c r="D15" s="220" t="s">
        <v>225</v>
      </c>
      <c r="E15" s="220"/>
      <c r="F15" s="220"/>
      <c r="G15" s="220"/>
    </row>
    <row r="16" spans="3:7" ht="18" x14ac:dyDescent="0.35">
      <c r="D16" s="219"/>
      <c r="E16" s="219"/>
      <c r="F16" s="219"/>
      <c r="G16" s="219"/>
    </row>
    <row r="17" spans="4:7" ht="18" x14ac:dyDescent="0.35">
      <c r="D17" s="220" t="s">
        <v>223</v>
      </c>
      <c r="E17" s="220"/>
      <c r="F17" s="220"/>
      <c r="G17" s="22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10D4E-FEA7-47B9-8D87-459D95B6581E}">
  <dimension ref="A2:M23"/>
  <sheetViews>
    <sheetView showGridLines="0" workbookViewId="0"/>
  </sheetViews>
  <sheetFormatPr defaultRowHeight="15.6" x14ac:dyDescent="0.3"/>
  <sheetData>
    <row r="2" spans="1:13" ht="23.4" x14ac:dyDescent="0.45">
      <c r="B2" s="76" t="s">
        <v>164</v>
      </c>
    </row>
    <row r="3" spans="1:13" x14ac:dyDescent="0.3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5" spans="1:13" x14ac:dyDescent="0.3">
      <c r="I5" s="77" t="s">
        <v>158</v>
      </c>
      <c r="J5" s="78"/>
      <c r="K5" s="79"/>
    </row>
    <row r="6" spans="1:13" x14ac:dyDescent="0.3">
      <c r="B6" t="s">
        <v>159</v>
      </c>
      <c r="E6" s="80"/>
      <c r="F6" s="81" t="s">
        <v>153</v>
      </c>
      <c r="G6" s="82"/>
      <c r="I6" s="83" t="s">
        <v>153</v>
      </c>
      <c r="J6" s="84" t="s">
        <v>154</v>
      </c>
      <c r="K6" s="85" t="s">
        <v>155</v>
      </c>
    </row>
    <row r="7" spans="1:13" x14ac:dyDescent="0.3">
      <c r="B7" t="s">
        <v>160</v>
      </c>
      <c r="E7" s="80"/>
      <c r="F7" s="81" t="s">
        <v>165</v>
      </c>
      <c r="G7" s="82"/>
    </row>
    <row r="8" spans="1:13" x14ac:dyDescent="0.3">
      <c r="B8" t="s">
        <v>161</v>
      </c>
      <c r="E8" s="80"/>
      <c r="F8" s="81" t="s">
        <v>166</v>
      </c>
      <c r="G8" s="82"/>
    </row>
    <row r="9" spans="1:13" x14ac:dyDescent="0.3">
      <c r="B9" t="s">
        <v>162</v>
      </c>
      <c r="E9" s="80"/>
      <c r="F9" s="81" t="s">
        <v>167</v>
      </c>
      <c r="G9" s="82"/>
    </row>
    <row r="11" spans="1:13" x14ac:dyDescent="0.3">
      <c r="B11" t="s">
        <v>227</v>
      </c>
      <c r="E11" s="80"/>
      <c r="F11" s="81">
        <v>434.15</v>
      </c>
      <c r="G11" s="82"/>
    </row>
    <row r="12" spans="1:13" x14ac:dyDescent="0.3">
      <c r="B12" t="s">
        <v>163</v>
      </c>
      <c r="E12" s="80"/>
      <c r="F12" s="86">
        <v>337.28</v>
      </c>
      <c r="G12" s="82"/>
    </row>
    <row r="22" spans="1:13" x14ac:dyDescent="0.3">
      <c r="A22" s="199"/>
      <c r="B22" s="199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</row>
    <row r="23" spans="1:13" x14ac:dyDescent="0.3">
      <c r="A23" s="199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</row>
  </sheetData>
  <dataValidations count="1">
    <dataValidation type="list" allowBlank="1" showInputMessage="1" showErrorMessage="1" sqref="G10 F6" xr:uid="{940343FE-B04F-492D-B8E4-0FB2AF7C6C67}">
      <formula1>"Base,Bull,Bear"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F75B6-2FD6-49F7-BEA6-75F6B2D0CB78}">
  <sheetPr>
    <pageSetUpPr autoPageBreaks="0"/>
  </sheetPr>
  <dimension ref="B2:O101"/>
  <sheetViews>
    <sheetView showGridLines="0" zoomScale="109" zoomScaleNormal="100" workbookViewId="0"/>
  </sheetViews>
  <sheetFormatPr defaultRowHeight="15.6" x14ac:dyDescent="0.3"/>
  <cols>
    <col min="1" max="1" width="3.33203125" customWidth="1"/>
    <col min="2" max="2" width="37" customWidth="1"/>
    <col min="3" max="15" width="12.5546875" customWidth="1"/>
  </cols>
  <sheetData>
    <row r="2" spans="2:15" ht="17.399999999999999" x14ac:dyDescent="0.35">
      <c r="B2" s="23" t="s">
        <v>133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2:15" x14ac:dyDescent="0.3">
      <c r="B3" s="24" t="s">
        <v>122</v>
      </c>
      <c r="C3" s="87" t="s">
        <v>168</v>
      </c>
      <c r="D3" s="88" t="str">
        <f>Control!F6</f>
        <v>Base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2:15" x14ac:dyDescent="0.3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2:15" x14ac:dyDescent="0.3">
      <c r="B5" s="212" t="s">
        <v>123</v>
      </c>
      <c r="C5" s="213">
        <v>2019</v>
      </c>
      <c r="D5" s="213">
        <v>2020</v>
      </c>
      <c r="E5" s="213">
        <v>2021</v>
      </c>
      <c r="F5" s="213">
        <v>2022</v>
      </c>
      <c r="G5" s="213">
        <v>2023</v>
      </c>
      <c r="H5" s="213">
        <v>2024</v>
      </c>
      <c r="I5" s="214">
        <v>2025</v>
      </c>
      <c r="J5" s="204" t="s">
        <v>124</v>
      </c>
      <c r="K5" s="204" t="s">
        <v>125</v>
      </c>
      <c r="L5" s="204" t="s">
        <v>126</v>
      </c>
      <c r="M5" s="204" t="s">
        <v>127</v>
      </c>
      <c r="N5" s="204" t="s">
        <v>128</v>
      </c>
      <c r="O5" s="204" t="s">
        <v>134</v>
      </c>
    </row>
    <row r="6" spans="2:15" x14ac:dyDescent="0.3">
      <c r="B6" s="31"/>
      <c r="C6" s="31"/>
      <c r="D6" s="31"/>
      <c r="E6" s="31"/>
      <c r="F6" s="31"/>
      <c r="G6" s="31"/>
      <c r="H6" s="31"/>
      <c r="I6" s="54"/>
      <c r="J6" s="31"/>
      <c r="K6" s="31"/>
      <c r="L6" s="31"/>
      <c r="M6" s="31"/>
      <c r="N6" s="31"/>
      <c r="O6" s="31"/>
    </row>
    <row r="7" spans="2:15" x14ac:dyDescent="0.3">
      <c r="B7" s="39" t="s">
        <v>3</v>
      </c>
      <c r="C7" s="40">
        <f>'Income Statement'!C8</f>
        <v>994.1</v>
      </c>
      <c r="D7" s="40">
        <f>'Income Statement'!D8</f>
        <v>1451.1</v>
      </c>
      <c r="E7" s="40">
        <f>'Income Statement'!E8</f>
        <v>2793.1</v>
      </c>
      <c r="F7" s="40">
        <f>'Income Statement'!F8</f>
        <v>2817.1</v>
      </c>
      <c r="G7" s="40">
        <f>'Income Statement'!G8</f>
        <v>3283.1</v>
      </c>
      <c r="H7" s="40">
        <f>'Income Statement'!H8</f>
        <v>3224.1</v>
      </c>
      <c r="I7" s="41">
        <f>'Income Statement'!I8</f>
        <v>5480.7</v>
      </c>
      <c r="J7" s="42">
        <f t="shared" ref="J7:O7" si="0">I7*(1+J8)</f>
        <v>6987.892499999999</v>
      </c>
      <c r="K7" s="42">
        <f t="shared" si="0"/>
        <v>8664.9866999999995</v>
      </c>
      <c r="L7" s="42">
        <f t="shared" si="0"/>
        <v>10397.984039999999</v>
      </c>
      <c r="M7" s="42">
        <f t="shared" si="0"/>
        <v>12061.661486399998</v>
      </c>
      <c r="N7" s="42">
        <f t="shared" si="0"/>
        <v>13750.294094495999</v>
      </c>
      <c r="O7" s="42">
        <f t="shared" si="0"/>
        <v>15262.826444890561</v>
      </c>
    </row>
    <row r="8" spans="2:15" x14ac:dyDescent="0.3">
      <c r="B8" s="30" t="s">
        <v>152</v>
      </c>
      <c r="C8" s="55"/>
      <c r="D8" s="48">
        <f t="shared" ref="D8:I8" si="1">D7/C7-1</f>
        <v>0.45971230258525297</v>
      </c>
      <c r="E8" s="48">
        <f t="shared" si="1"/>
        <v>0.92481565708772662</v>
      </c>
      <c r="F8" s="48">
        <f t="shared" si="1"/>
        <v>8.5926032007446196E-3</v>
      </c>
      <c r="G8" s="48">
        <f t="shared" si="1"/>
        <v>0.16541833800717054</v>
      </c>
      <c r="H8" s="48">
        <f t="shared" si="1"/>
        <v>-1.7970820261338338E-2</v>
      </c>
      <c r="I8" s="49">
        <f t="shared" si="1"/>
        <v>0.69991625569926486</v>
      </c>
      <c r="J8" s="48">
        <f>CHOOSE(MATCH(CaseSel,{"Base","Bull","Bear"},0), J9, J10, J11)</f>
        <v>0.27500000000000002</v>
      </c>
      <c r="K8" s="48">
        <f>CHOOSE(MATCH(CaseSel,{"Base","Bull","Bear"},0), K9, K10, K11)</f>
        <v>0.24</v>
      </c>
      <c r="L8" s="48">
        <f>CHOOSE(MATCH(CaseSel,{"Base","Bull","Bear"},0), L9, L10, L11)</f>
        <v>0.2</v>
      </c>
      <c r="M8" s="48">
        <f>CHOOSE(MATCH(CaseSel,{"Base","Bull","Bear"},0), M9, M10, M11)</f>
        <v>0.16</v>
      </c>
      <c r="N8" s="48">
        <f>CHOOSE(MATCH(CaseSel,{"Base","Bull","Bear"},0), N9, N10, N11)</f>
        <v>0.14000000000000001</v>
      </c>
      <c r="O8" s="48">
        <f>CHOOSE(MATCH(CaseSel,{"Base","Bull","Bear"},0), O9, O10, O11)</f>
        <v>0.11</v>
      </c>
    </row>
    <row r="9" spans="2:15" x14ac:dyDescent="0.3">
      <c r="B9" s="27" t="s">
        <v>153</v>
      </c>
      <c r="C9" s="25"/>
      <c r="D9" s="25"/>
      <c r="E9" s="25"/>
      <c r="F9" s="25"/>
      <c r="G9" s="25"/>
      <c r="H9" s="25"/>
      <c r="I9" s="56"/>
      <c r="J9" s="57">
        <v>0.27500000000000002</v>
      </c>
      <c r="K9" s="57">
        <v>0.24</v>
      </c>
      <c r="L9" s="57">
        <v>0.2</v>
      </c>
      <c r="M9" s="57">
        <v>0.16</v>
      </c>
      <c r="N9" s="57">
        <v>0.14000000000000001</v>
      </c>
      <c r="O9" s="57">
        <v>0.11</v>
      </c>
    </row>
    <row r="10" spans="2:15" x14ac:dyDescent="0.3">
      <c r="B10" s="27" t="s">
        <v>154</v>
      </c>
      <c r="C10" s="25"/>
      <c r="D10" s="25"/>
      <c r="E10" s="25"/>
      <c r="F10" s="25"/>
      <c r="G10" s="25"/>
      <c r="H10" s="25"/>
      <c r="I10" s="56"/>
      <c r="J10" s="57">
        <v>0.32</v>
      </c>
      <c r="K10" s="57">
        <v>0.27</v>
      </c>
      <c r="L10" s="57">
        <v>0.22</v>
      </c>
      <c r="M10" s="57">
        <v>0.18</v>
      </c>
      <c r="N10" s="57">
        <v>0.15</v>
      </c>
      <c r="O10" s="57">
        <v>0.12</v>
      </c>
    </row>
    <row r="11" spans="2:15" x14ac:dyDescent="0.3">
      <c r="B11" s="27" t="s">
        <v>155</v>
      </c>
      <c r="C11" s="25"/>
      <c r="D11" s="25"/>
      <c r="E11" s="25"/>
      <c r="F11" s="25"/>
      <c r="G11" s="25"/>
      <c r="H11" s="25"/>
      <c r="I11" s="56"/>
      <c r="J11" s="57">
        <v>0.22</v>
      </c>
      <c r="K11" s="57">
        <v>0.185</v>
      </c>
      <c r="L11" s="57">
        <v>0.15</v>
      </c>
      <c r="M11" s="57">
        <v>0.14000000000000001</v>
      </c>
      <c r="N11" s="57">
        <v>0.11</v>
      </c>
      <c r="O11" s="57">
        <v>0.08</v>
      </c>
    </row>
    <row r="12" spans="2:15" x14ac:dyDescent="0.3">
      <c r="B12" s="63"/>
      <c r="C12" s="25"/>
      <c r="D12" s="25"/>
      <c r="E12" s="25"/>
      <c r="F12" s="25"/>
      <c r="G12" s="25"/>
      <c r="H12" s="25"/>
      <c r="I12" s="56"/>
      <c r="J12" s="64"/>
      <c r="K12" s="64"/>
      <c r="L12" s="64"/>
      <c r="M12" s="64"/>
      <c r="N12" s="64"/>
      <c r="O12" s="64"/>
    </row>
    <row r="13" spans="2:15" ht="16.2" thickBot="1" x14ac:dyDescent="0.35">
      <c r="B13" s="58" t="s">
        <v>148</v>
      </c>
      <c r="C13" s="59"/>
      <c r="D13" s="59"/>
      <c r="E13" s="59"/>
      <c r="F13" s="59"/>
      <c r="G13" s="59"/>
      <c r="H13" s="59"/>
      <c r="I13" s="60"/>
      <c r="J13" s="59"/>
      <c r="K13" s="59"/>
      <c r="L13" s="59"/>
      <c r="M13" s="59"/>
      <c r="N13" s="59"/>
      <c r="O13" s="59"/>
    </row>
    <row r="14" spans="2:15" ht="16.2" thickTop="1" x14ac:dyDescent="0.3">
      <c r="B14" s="43" t="s">
        <v>4</v>
      </c>
      <c r="C14" s="44">
        <f>'Income Statement'!C9</f>
        <v>241.3</v>
      </c>
      <c r="D14" s="44">
        <f>'Income Statement'!D9</f>
        <v>555.6</v>
      </c>
      <c r="E14" s="44">
        <f>'Income Statement'!E9</f>
        <v>988.1</v>
      </c>
      <c r="F14" s="44">
        <f>'Income Statement'!F9</f>
        <v>1256.0999999999999</v>
      </c>
      <c r="G14" s="44">
        <f>'Income Statement'!G9</f>
        <v>1059.2</v>
      </c>
      <c r="H14" s="44">
        <f>'Income Statement'!H9</f>
        <v>520.6</v>
      </c>
      <c r="I14" s="45">
        <f>'Income Statement'!I9</f>
        <v>665.1</v>
      </c>
      <c r="J14" s="46">
        <f t="shared" ref="J14:O14" si="2">J7*J15</f>
        <v>768.66817499999991</v>
      </c>
      <c r="K14" s="46">
        <f t="shared" si="2"/>
        <v>909.82360349999988</v>
      </c>
      <c r="L14" s="46">
        <f t="shared" si="2"/>
        <v>1039.7984039999999</v>
      </c>
      <c r="M14" s="46">
        <f t="shared" si="2"/>
        <v>1145.8578412079999</v>
      </c>
      <c r="N14" s="46">
        <f t="shared" si="2"/>
        <v>1237.52646850464</v>
      </c>
      <c r="O14" s="46">
        <f t="shared" si="2"/>
        <v>1297.3402478156977</v>
      </c>
    </row>
    <row r="15" spans="2:15" x14ac:dyDescent="0.3">
      <c r="B15" s="30" t="s">
        <v>156</v>
      </c>
      <c r="C15" s="48">
        <f t="shared" ref="C15:I15" si="3">C14/C7</f>
        <v>0.24273211950507997</v>
      </c>
      <c r="D15" s="48">
        <f t="shared" si="3"/>
        <v>0.38288195162290678</v>
      </c>
      <c r="E15" s="48">
        <f t="shared" si="3"/>
        <v>0.3537646342773263</v>
      </c>
      <c r="F15" s="48">
        <f t="shared" si="3"/>
        <v>0.44588406517340523</v>
      </c>
      <c r="G15" s="48">
        <f t="shared" si="3"/>
        <v>0.32262191221711189</v>
      </c>
      <c r="H15" s="48">
        <f t="shared" si="3"/>
        <v>0.1614714183803232</v>
      </c>
      <c r="I15" s="49">
        <f t="shared" si="3"/>
        <v>0.121353111828781</v>
      </c>
      <c r="J15" s="89">
        <f>CHOOSE(MATCH(CaseSel,{"Base","Bull","Bear"},0), J16, J17, J18)</f>
        <v>0.11</v>
      </c>
      <c r="K15" s="89">
        <f>CHOOSE(MATCH(CaseSel,{"Base","Bull","Bear"},0), K16, K17, K18)</f>
        <v>0.105</v>
      </c>
      <c r="L15" s="89">
        <f>CHOOSE(MATCH(CaseSel,{"Base","Bull","Bear"},0), L16, L17, L18)</f>
        <v>0.1</v>
      </c>
      <c r="M15" s="89">
        <f>CHOOSE(MATCH(CaseSel,{"Base","Bull","Bear"},0), M16, M17, M18)</f>
        <v>9.5000000000000001E-2</v>
      </c>
      <c r="N15" s="89">
        <f>CHOOSE(MATCH(CaseSel,{"Base","Bull","Bear"},0), N16, N17, N18)</f>
        <v>0.09</v>
      </c>
      <c r="O15" s="89">
        <f>CHOOSE(MATCH(CaseSel,{"Base","Bull","Bear"},0), O16, O17, O18)</f>
        <v>8.5000000000000006E-2</v>
      </c>
    </row>
    <row r="16" spans="2:15" x14ac:dyDescent="0.3">
      <c r="B16" s="27" t="s">
        <v>153</v>
      </c>
      <c r="C16" s="25"/>
      <c r="D16" s="25"/>
      <c r="E16" s="25"/>
      <c r="F16" s="25"/>
      <c r="G16" s="25"/>
      <c r="H16" s="25"/>
      <c r="I16" s="56"/>
      <c r="J16" s="52">
        <v>0.11</v>
      </c>
      <c r="K16" s="52">
        <v>0.105</v>
      </c>
      <c r="L16" s="52">
        <v>0.1</v>
      </c>
      <c r="M16" s="52">
        <v>9.5000000000000001E-2</v>
      </c>
      <c r="N16" s="52">
        <v>0.09</v>
      </c>
      <c r="O16" s="52">
        <v>8.5000000000000006E-2</v>
      </c>
    </row>
    <row r="17" spans="2:15" x14ac:dyDescent="0.3">
      <c r="B17" s="27" t="s">
        <v>154</v>
      </c>
      <c r="C17" s="25"/>
      <c r="D17" s="25"/>
      <c r="E17" s="25"/>
      <c r="F17" s="25"/>
      <c r="G17" s="25"/>
      <c r="H17" s="25"/>
      <c r="I17" s="56"/>
      <c r="J17" s="52">
        <v>9.5000000000000001E-2</v>
      </c>
      <c r="K17" s="52">
        <v>0.09</v>
      </c>
      <c r="L17" s="52">
        <v>8.5000000000000006E-2</v>
      </c>
      <c r="M17" s="52">
        <v>0.08</v>
      </c>
      <c r="N17" s="52">
        <v>7.4999999999999997E-2</v>
      </c>
      <c r="O17" s="52">
        <v>7.0000000000000007E-2</v>
      </c>
    </row>
    <row r="18" spans="2:15" x14ac:dyDescent="0.3">
      <c r="B18" s="27" t="s">
        <v>155</v>
      </c>
      <c r="C18" s="25"/>
      <c r="D18" s="25"/>
      <c r="E18" s="25"/>
      <c r="F18" s="25"/>
      <c r="G18" s="25"/>
      <c r="H18" s="25"/>
      <c r="I18" s="56"/>
      <c r="J18" s="52">
        <v>0.12</v>
      </c>
      <c r="K18" s="52">
        <v>0.115</v>
      </c>
      <c r="L18" s="52">
        <v>0.11</v>
      </c>
      <c r="M18" s="52">
        <v>0.105</v>
      </c>
      <c r="N18" s="52">
        <v>0.1</v>
      </c>
      <c r="O18" s="52">
        <v>9.5000000000000001E-2</v>
      </c>
    </row>
    <row r="19" spans="2:15" x14ac:dyDescent="0.3">
      <c r="B19" s="31"/>
      <c r="C19" s="31"/>
      <c r="D19" s="31"/>
      <c r="E19" s="31"/>
      <c r="F19" s="31"/>
      <c r="G19" s="31"/>
      <c r="H19" s="31"/>
      <c r="I19" s="54"/>
      <c r="J19" s="31"/>
      <c r="K19" s="31"/>
      <c r="L19" s="31"/>
      <c r="M19" s="31"/>
      <c r="N19" s="31"/>
      <c r="O19" s="31"/>
    </row>
    <row r="20" spans="2:15" x14ac:dyDescent="0.3">
      <c r="B20" s="43" t="s">
        <v>135</v>
      </c>
      <c r="C20" s="44">
        <f>'Income Statement'!C13</f>
        <v>481.8</v>
      </c>
      <c r="D20" s="44">
        <f>'Income Statement'!D13</f>
        <v>627.79999999999995</v>
      </c>
      <c r="E20" s="44">
        <f>'Income Statement'!E13</f>
        <v>1129.9000000000001</v>
      </c>
      <c r="F20" s="44">
        <f>'Income Statement'!F13</f>
        <v>919.6</v>
      </c>
      <c r="G20" s="44">
        <f>'Income Statement'!G13</f>
        <v>830.7</v>
      </c>
      <c r="H20" s="44">
        <f>'Income Statement'!H13</f>
        <v>252.9</v>
      </c>
      <c r="I20" s="45">
        <f>'Income Statement'!I13</f>
        <v>203.7</v>
      </c>
      <c r="J20" s="46">
        <f t="shared" ref="J20:O20" si="4">J7*J21</f>
        <v>223.61255999999997</v>
      </c>
      <c r="K20" s="46">
        <f t="shared" si="4"/>
        <v>259.94960099999997</v>
      </c>
      <c r="L20" s="46">
        <f t="shared" si="4"/>
        <v>291.14355311999998</v>
      </c>
      <c r="M20" s="46">
        <f t="shared" si="4"/>
        <v>313.60319864639996</v>
      </c>
      <c r="N20" s="46">
        <f t="shared" si="4"/>
        <v>330.00705826790397</v>
      </c>
      <c r="O20" s="46">
        <f t="shared" si="4"/>
        <v>335.78218178759232</v>
      </c>
    </row>
    <row r="21" spans="2:15" x14ac:dyDescent="0.3">
      <c r="B21" s="30" t="s">
        <v>156</v>
      </c>
      <c r="C21" s="48">
        <f t="shared" ref="C21:I21" si="5">C20/C7</f>
        <v>0.4846594909968816</v>
      </c>
      <c r="D21" s="48">
        <f t="shared" si="5"/>
        <v>0.43263730962717939</v>
      </c>
      <c r="E21" s="48">
        <f t="shared" si="5"/>
        <v>0.40453259818839288</v>
      </c>
      <c r="F21" s="48">
        <f t="shared" si="5"/>
        <v>0.32643498633346352</v>
      </c>
      <c r="G21" s="48">
        <f t="shared" si="5"/>
        <v>0.25302305747616582</v>
      </c>
      <c r="H21" s="48">
        <f t="shared" si="5"/>
        <v>7.8440495021866577E-2</v>
      </c>
      <c r="I21" s="49">
        <f t="shared" si="5"/>
        <v>3.7166785264655972E-2</v>
      </c>
      <c r="J21" s="89">
        <f>CHOOSE(MATCH(CaseSel,{"Base","Bull","Bear"},0), J22, J23, J24)</f>
        <v>3.2000000000000001E-2</v>
      </c>
      <c r="K21" s="89">
        <f>CHOOSE(MATCH(CaseSel,{"Base","Bull","Bear"},0), K22, K23, K24)</f>
        <v>0.03</v>
      </c>
      <c r="L21" s="89">
        <f>CHOOSE(MATCH(CaseSel,{"Base","Bull","Bear"},0), L22, L23, L24)</f>
        <v>2.8000000000000001E-2</v>
      </c>
      <c r="M21" s="89">
        <f>CHOOSE(MATCH(CaseSel,{"Base","Bull","Bear"},0), M22, M23, M24)</f>
        <v>2.5999999999999999E-2</v>
      </c>
      <c r="N21" s="89">
        <f>CHOOSE(MATCH(CaseSel,{"Base","Bull","Bear"},0), N22, N23, N24)</f>
        <v>2.4E-2</v>
      </c>
      <c r="O21" s="89">
        <f>CHOOSE(MATCH(CaseSel,{"Base","Bull","Bear"},0), O22, O23, O24)</f>
        <v>2.1999999999999999E-2</v>
      </c>
    </row>
    <row r="22" spans="2:15" x14ac:dyDescent="0.3">
      <c r="B22" s="27" t="s">
        <v>153</v>
      </c>
      <c r="C22" s="25"/>
      <c r="D22" s="25"/>
      <c r="E22" s="25"/>
      <c r="F22" s="25"/>
      <c r="G22" s="25"/>
      <c r="H22" s="25"/>
      <c r="I22" s="56"/>
      <c r="J22" s="52">
        <v>3.2000000000000001E-2</v>
      </c>
      <c r="K22" s="52">
        <v>0.03</v>
      </c>
      <c r="L22" s="52">
        <v>2.8000000000000001E-2</v>
      </c>
      <c r="M22" s="52">
        <v>2.5999999999999999E-2</v>
      </c>
      <c r="N22" s="52">
        <v>2.4E-2</v>
      </c>
      <c r="O22" s="52">
        <v>2.1999999999999999E-2</v>
      </c>
    </row>
    <row r="23" spans="2:15" x14ac:dyDescent="0.3">
      <c r="B23" s="27" t="s">
        <v>154</v>
      </c>
      <c r="C23" s="25"/>
      <c r="D23" s="25"/>
      <c r="E23" s="25"/>
      <c r="F23" s="25"/>
      <c r="G23" s="25"/>
      <c r="H23" s="25"/>
      <c r="I23" s="56"/>
      <c r="J23" s="52">
        <v>2.5000000000000001E-2</v>
      </c>
      <c r="K23" s="52">
        <v>0.02</v>
      </c>
      <c r="L23" s="52">
        <v>1.7999999999999999E-2</v>
      </c>
      <c r="M23" s="52">
        <v>1.4999999999999999E-2</v>
      </c>
      <c r="N23" s="52">
        <v>1.2999999999999999E-2</v>
      </c>
      <c r="O23" s="52">
        <v>1.2E-2</v>
      </c>
    </row>
    <row r="24" spans="2:15" x14ac:dyDescent="0.3">
      <c r="B24" s="27" t="s">
        <v>155</v>
      </c>
      <c r="C24" s="25"/>
      <c r="D24" s="25"/>
      <c r="E24" s="25"/>
      <c r="F24" s="25"/>
      <c r="G24" s="25"/>
      <c r="H24" s="25"/>
      <c r="I24" s="56"/>
      <c r="J24" s="52">
        <v>3.5000000000000003E-2</v>
      </c>
      <c r="K24" s="52">
        <v>3.4000000000000002E-2</v>
      </c>
      <c r="L24" s="52">
        <v>3.2000000000000001E-2</v>
      </c>
      <c r="M24" s="52">
        <v>0.03</v>
      </c>
      <c r="N24" s="52">
        <v>2.8000000000000001E-2</v>
      </c>
      <c r="O24" s="52">
        <v>2.5999999999999999E-2</v>
      </c>
    </row>
    <row r="25" spans="2:15" x14ac:dyDescent="0.3">
      <c r="B25" s="31"/>
      <c r="C25" s="31"/>
      <c r="D25" s="31"/>
      <c r="E25" s="31"/>
      <c r="F25" s="31"/>
      <c r="G25" s="31"/>
      <c r="H25" s="31"/>
      <c r="I25" s="54"/>
      <c r="J25" s="31"/>
      <c r="K25" s="31"/>
      <c r="L25" s="31"/>
      <c r="M25" s="31"/>
      <c r="N25" s="31"/>
      <c r="O25" s="31"/>
    </row>
    <row r="26" spans="2:15" x14ac:dyDescent="0.3">
      <c r="B26" s="43" t="s">
        <v>136</v>
      </c>
      <c r="C26" s="44">
        <f>'Income Statement'!C14</f>
        <v>44.97</v>
      </c>
      <c r="D26" s="44">
        <f>'Income Statement'!D14</f>
        <v>180.7</v>
      </c>
      <c r="E26" s="44">
        <f>'Income Statement'!E14</f>
        <v>366.4</v>
      </c>
      <c r="F26" s="44">
        <f>'Income Statement'!F14</f>
        <v>507.6</v>
      </c>
      <c r="G26" s="44">
        <f>'Income Statement'!G14</f>
        <v>592.4</v>
      </c>
      <c r="H26" s="44">
        <f>'Income Statement'!H14</f>
        <v>374.7</v>
      </c>
      <c r="I26" s="45">
        <f>'Income Statement'!I14</f>
        <v>226.5</v>
      </c>
      <c r="J26" s="46">
        <f t="shared" ref="J26:O26" si="6">J7*J27</f>
        <v>293.49148499999995</v>
      </c>
      <c r="K26" s="46">
        <f t="shared" si="6"/>
        <v>346.599468</v>
      </c>
      <c r="L26" s="46">
        <f t="shared" si="6"/>
        <v>395.12339351999998</v>
      </c>
      <c r="M26" s="46">
        <f t="shared" si="6"/>
        <v>422.158152024</v>
      </c>
      <c r="N26" s="46">
        <f t="shared" si="6"/>
        <v>453.759705118368</v>
      </c>
      <c r="O26" s="46">
        <f t="shared" si="6"/>
        <v>457.88479334671683</v>
      </c>
    </row>
    <row r="27" spans="2:15" x14ac:dyDescent="0.3">
      <c r="B27" s="30" t="s">
        <v>156</v>
      </c>
      <c r="C27" s="48">
        <f t="shared" ref="C27:I27" si="7">C26/C7</f>
        <v>4.5236897696408811E-2</v>
      </c>
      <c r="D27" s="48">
        <f t="shared" si="7"/>
        <v>0.12452622148714768</v>
      </c>
      <c r="E27" s="48">
        <f t="shared" si="7"/>
        <v>0.13118040886470231</v>
      </c>
      <c r="F27" s="48">
        <f t="shared" si="7"/>
        <v>0.18018529693656599</v>
      </c>
      <c r="G27" s="48">
        <f t="shared" si="7"/>
        <v>0.18043921903079407</v>
      </c>
      <c r="H27" s="48">
        <f t="shared" si="7"/>
        <v>0.11621847957569555</v>
      </c>
      <c r="I27" s="49">
        <f t="shared" si="7"/>
        <v>4.1326837812688165E-2</v>
      </c>
      <c r="J27" s="89">
        <f>CHOOSE(MATCH(CaseSel,{"Base","Bull","Bear"},0), J28, J29, J30)</f>
        <v>4.2000000000000003E-2</v>
      </c>
      <c r="K27" s="89">
        <f>CHOOSE(MATCH(CaseSel,{"Base","Bull","Bear"},0), K28, K29, K30)</f>
        <v>0.04</v>
      </c>
      <c r="L27" s="89">
        <f>CHOOSE(MATCH(CaseSel,{"Base","Bull","Bear"},0), L28, L29, L30)</f>
        <v>3.7999999999999999E-2</v>
      </c>
      <c r="M27" s="89">
        <f>CHOOSE(MATCH(CaseSel,{"Base","Bull","Bear"},0), M28, M29, M30)</f>
        <v>3.5000000000000003E-2</v>
      </c>
      <c r="N27" s="89">
        <f>CHOOSE(MATCH(CaseSel,{"Base","Bull","Bear"},0), N28, N29, N30)</f>
        <v>3.3000000000000002E-2</v>
      </c>
      <c r="O27" s="89">
        <f>CHOOSE(MATCH(CaseSel,{"Base","Bull","Bear"},0), O28, O29, O30)</f>
        <v>0.03</v>
      </c>
    </row>
    <row r="28" spans="2:15" x14ac:dyDescent="0.3">
      <c r="B28" s="27" t="s">
        <v>153</v>
      </c>
      <c r="C28" s="25"/>
      <c r="D28" s="25"/>
      <c r="E28" s="25"/>
      <c r="F28" s="25"/>
      <c r="G28" s="25"/>
      <c r="H28" s="25"/>
      <c r="I28" s="56"/>
      <c r="J28" s="52">
        <v>4.2000000000000003E-2</v>
      </c>
      <c r="K28" s="52">
        <v>0.04</v>
      </c>
      <c r="L28" s="52">
        <v>3.7999999999999999E-2</v>
      </c>
      <c r="M28" s="52">
        <v>3.5000000000000003E-2</v>
      </c>
      <c r="N28" s="52">
        <v>3.3000000000000002E-2</v>
      </c>
      <c r="O28" s="52">
        <v>0.03</v>
      </c>
    </row>
    <row r="29" spans="2:15" x14ac:dyDescent="0.3">
      <c r="B29" s="27" t="s">
        <v>154</v>
      </c>
      <c r="C29" s="25"/>
      <c r="D29" s="25"/>
      <c r="E29" s="25"/>
      <c r="F29" s="25"/>
      <c r="G29" s="25"/>
      <c r="H29" s="25"/>
      <c r="I29" s="56"/>
      <c r="J29" s="52">
        <v>3.5000000000000003E-2</v>
      </c>
      <c r="K29" s="52">
        <v>0.03</v>
      </c>
      <c r="L29" s="52">
        <v>2.5000000000000001E-2</v>
      </c>
      <c r="M29" s="52">
        <v>2.1999999999999999E-2</v>
      </c>
      <c r="N29" s="52">
        <v>0.02</v>
      </c>
      <c r="O29" s="52">
        <v>1.7999999999999999E-2</v>
      </c>
    </row>
    <row r="30" spans="2:15" x14ac:dyDescent="0.3">
      <c r="B30" s="27" t="s">
        <v>155</v>
      </c>
      <c r="C30" s="25"/>
      <c r="D30" s="25"/>
      <c r="E30" s="25"/>
      <c r="F30" s="25"/>
      <c r="G30" s="25"/>
      <c r="H30" s="25"/>
      <c r="I30" s="56"/>
      <c r="J30" s="52">
        <v>4.8000000000000001E-2</v>
      </c>
      <c r="K30" s="52">
        <v>4.5999999999999999E-2</v>
      </c>
      <c r="L30" s="52">
        <v>4.3999999999999997E-2</v>
      </c>
      <c r="M30" s="52">
        <v>4.2000000000000003E-2</v>
      </c>
      <c r="N30" s="52">
        <v>0.04</v>
      </c>
      <c r="O30" s="52">
        <v>3.7999999999999999E-2</v>
      </c>
    </row>
    <row r="31" spans="2:15" x14ac:dyDescent="0.3">
      <c r="B31" s="31"/>
      <c r="C31" s="31"/>
      <c r="D31" s="31"/>
      <c r="E31" s="31"/>
      <c r="F31" s="31"/>
      <c r="G31" s="31"/>
      <c r="H31" s="31"/>
      <c r="I31" s="54"/>
      <c r="J31" s="31"/>
      <c r="K31" s="31"/>
      <c r="L31" s="31"/>
      <c r="M31" s="31"/>
      <c r="N31" s="31"/>
      <c r="O31" s="31"/>
    </row>
    <row r="32" spans="2:15" x14ac:dyDescent="0.3">
      <c r="B32" s="43" t="s">
        <v>137</v>
      </c>
      <c r="C32" s="44">
        <f>'Income Statement'!C15</f>
        <v>31.71</v>
      </c>
      <c r="D32" s="44">
        <f>'Income Statement'!D15</f>
        <v>66.430000000000007</v>
      </c>
      <c r="E32" s="44">
        <f>'Income Statement'!E15</f>
        <v>158.69999999999999</v>
      </c>
      <c r="F32" s="44">
        <f>'Income Statement'!F15</f>
        <v>181.6</v>
      </c>
      <c r="G32" s="44">
        <f>'Income Statement'!G15</f>
        <v>152.6</v>
      </c>
      <c r="H32" s="44">
        <f>'Income Statement'!H15</f>
        <v>164.9</v>
      </c>
      <c r="I32" s="45">
        <f>'Income Statement'!I15</f>
        <v>233.5</v>
      </c>
      <c r="J32" s="46">
        <f t="shared" ref="J32:O32" si="8">J7*J33</f>
        <v>265.53991499999995</v>
      </c>
      <c r="K32" s="46">
        <f t="shared" si="8"/>
        <v>311.93952119999994</v>
      </c>
      <c r="L32" s="46">
        <f t="shared" si="8"/>
        <v>353.53145735999999</v>
      </c>
      <c r="M32" s="46">
        <f t="shared" si="8"/>
        <v>385.97316756479995</v>
      </c>
      <c r="N32" s="46">
        <f t="shared" si="8"/>
        <v>412.50882283487994</v>
      </c>
      <c r="O32" s="46">
        <f t="shared" si="8"/>
        <v>427.35914045693573</v>
      </c>
    </row>
    <row r="33" spans="2:15" x14ac:dyDescent="0.3">
      <c r="B33" s="30" t="s">
        <v>156</v>
      </c>
      <c r="C33" s="48">
        <f t="shared" ref="C33:I33" si="9">C32/C7</f>
        <v>3.189819937632029E-2</v>
      </c>
      <c r="D33" s="48">
        <f t="shared" si="9"/>
        <v>4.5779064158224803E-2</v>
      </c>
      <c r="E33" s="48">
        <f t="shared" si="9"/>
        <v>5.6818588664924279E-2</v>
      </c>
      <c r="F33" s="48">
        <f t="shared" si="9"/>
        <v>6.4463455326399494E-2</v>
      </c>
      <c r="G33" s="48">
        <f t="shared" si="9"/>
        <v>4.6480460540342966E-2</v>
      </c>
      <c r="H33" s="48">
        <f t="shared" si="9"/>
        <v>5.1146056263763534E-2</v>
      </c>
      <c r="I33" s="49">
        <f t="shared" si="9"/>
        <v>4.260404692831208E-2</v>
      </c>
      <c r="J33" s="89">
        <f>CHOOSE(MATCH(CaseSel,{"Base","Bull","Bear"},0), J34, J35, J36)</f>
        <v>3.7999999999999999E-2</v>
      </c>
      <c r="K33" s="89">
        <f>CHOOSE(MATCH(CaseSel,{"Base","Bull","Bear"},0), K34, K35, K36)</f>
        <v>3.5999999999999997E-2</v>
      </c>
      <c r="L33" s="89">
        <f>CHOOSE(MATCH(CaseSel,{"Base","Bull","Bear"},0), L34, L35, L36)</f>
        <v>3.4000000000000002E-2</v>
      </c>
      <c r="M33" s="89">
        <f>CHOOSE(MATCH(CaseSel,{"Base","Bull","Bear"},0), M34, M35, M36)</f>
        <v>3.2000000000000001E-2</v>
      </c>
      <c r="N33" s="89">
        <f>CHOOSE(MATCH(CaseSel,{"Base","Bull","Bear"},0), N34, N35, N36)</f>
        <v>0.03</v>
      </c>
      <c r="O33" s="89">
        <f>CHOOSE(MATCH(CaseSel,{"Base","Bull","Bear"},0), O34, O35, O36)</f>
        <v>2.8000000000000001E-2</v>
      </c>
    </row>
    <row r="34" spans="2:15" x14ac:dyDescent="0.3">
      <c r="B34" s="27" t="s">
        <v>153</v>
      </c>
      <c r="C34" s="25"/>
      <c r="D34" s="25"/>
      <c r="E34" s="25"/>
      <c r="F34" s="25"/>
      <c r="G34" s="25"/>
      <c r="H34" s="25"/>
      <c r="I34" s="56"/>
      <c r="J34" s="52">
        <v>3.7999999999999999E-2</v>
      </c>
      <c r="K34" s="52">
        <v>3.5999999999999997E-2</v>
      </c>
      <c r="L34" s="52">
        <v>3.4000000000000002E-2</v>
      </c>
      <c r="M34" s="52">
        <v>3.2000000000000001E-2</v>
      </c>
      <c r="N34" s="52">
        <v>0.03</v>
      </c>
      <c r="O34" s="52">
        <v>2.8000000000000001E-2</v>
      </c>
    </row>
    <row r="35" spans="2:15" x14ac:dyDescent="0.3">
      <c r="B35" s="27" t="s">
        <v>154</v>
      </c>
      <c r="C35" s="25"/>
      <c r="D35" s="25"/>
      <c r="E35" s="25"/>
      <c r="F35" s="25"/>
      <c r="G35" s="25"/>
      <c r="H35" s="25"/>
      <c r="I35" s="56"/>
      <c r="J35" s="52">
        <v>0.03</v>
      </c>
      <c r="K35" s="52">
        <v>2.5000000000000001E-2</v>
      </c>
      <c r="L35" s="52">
        <v>2.3E-2</v>
      </c>
      <c r="M35" s="52">
        <v>0.02</v>
      </c>
      <c r="N35" s="52">
        <v>1.7999999999999999E-2</v>
      </c>
      <c r="O35" s="52">
        <v>1.6E-2</v>
      </c>
    </row>
    <row r="36" spans="2:15" x14ac:dyDescent="0.3">
      <c r="B36" s="27" t="s">
        <v>155</v>
      </c>
      <c r="C36" s="25"/>
      <c r="D36" s="25"/>
      <c r="E36" s="25"/>
      <c r="F36" s="25"/>
      <c r="G36" s="25"/>
      <c r="H36" s="25"/>
      <c r="I36" s="56"/>
      <c r="J36" s="52">
        <v>4.2000000000000003E-2</v>
      </c>
      <c r="K36" s="52">
        <v>0.04</v>
      </c>
      <c r="L36" s="52">
        <v>3.7999999999999999E-2</v>
      </c>
      <c r="M36" s="52">
        <v>3.5999999999999997E-2</v>
      </c>
      <c r="N36" s="52">
        <v>3.4000000000000002E-2</v>
      </c>
      <c r="O36" s="52">
        <v>3.2000000000000001E-2</v>
      </c>
    </row>
    <row r="37" spans="2:15" x14ac:dyDescent="0.3">
      <c r="B37" s="31"/>
      <c r="C37" s="31"/>
      <c r="D37" s="31"/>
      <c r="E37" s="31"/>
      <c r="F37" s="31"/>
      <c r="G37" s="31"/>
      <c r="H37" s="31"/>
      <c r="I37" s="54"/>
      <c r="J37" s="31"/>
      <c r="K37" s="31"/>
      <c r="L37" s="31"/>
      <c r="M37" s="31"/>
      <c r="N37" s="31"/>
      <c r="O37" s="31"/>
    </row>
    <row r="38" spans="2:15" x14ac:dyDescent="0.3">
      <c r="B38" s="43" t="s">
        <v>138</v>
      </c>
      <c r="C38" s="44">
        <f>'Income Statement'!C42</f>
        <v>92.81</v>
      </c>
      <c r="D38" s="44">
        <f>'Income Statement'!D42</f>
        <v>255</v>
      </c>
      <c r="E38" s="44">
        <f>'Income Statement'!E42</f>
        <v>431.1</v>
      </c>
      <c r="F38" s="44">
        <f>'Income Statement'!F42</f>
        <v>547.1</v>
      </c>
      <c r="G38" s="44">
        <f>'Income Statement'!G42</f>
        <v>489</v>
      </c>
      <c r="H38" s="44">
        <f>'Income Statement'!H42</f>
        <v>448.7</v>
      </c>
      <c r="I38" s="45">
        <f>'Income Statement'!I42</f>
        <v>194.8</v>
      </c>
      <c r="J38" s="46">
        <f t="shared" ref="J38:O38" si="10">J7*J39</f>
        <v>195.66098999999997</v>
      </c>
      <c r="K38" s="46">
        <f t="shared" si="10"/>
        <v>216.62466749999999</v>
      </c>
      <c r="L38" s="46">
        <f t="shared" si="10"/>
        <v>239.15363291999998</v>
      </c>
      <c r="M38" s="46">
        <f t="shared" si="10"/>
        <v>241.23322972799997</v>
      </c>
      <c r="N38" s="46">
        <f t="shared" si="10"/>
        <v>247.50529370092798</v>
      </c>
      <c r="O38" s="46">
        <f t="shared" si="10"/>
        <v>244.20522311824899</v>
      </c>
    </row>
    <row r="39" spans="2:15" x14ac:dyDescent="0.3">
      <c r="B39" s="30" t="s">
        <v>156</v>
      </c>
      <c r="C39" s="48">
        <f t="shared" ref="C39:I39" si="11">C38/C7</f>
        <v>9.3360828890453676E-2</v>
      </c>
      <c r="D39" s="48">
        <f t="shared" si="11"/>
        <v>0.17572875749431466</v>
      </c>
      <c r="E39" s="48">
        <f t="shared" si="11"/>
        <v>0.15434463499337656</v>
      </c>
      <c r="F39" s="48">
        <f t="shared" si="11"/>
        <v>0.1942068084200064</v>
      </c>
      <c r="G39" s="48">
        <f t="shared" si="11"/>
        <v>0.14894459504736376</v>
      </c>
      <c r="H39" s="48">
        <f t="shared" si="11"/>
        <v>0.13917062125864582</v>
      </c>
      <c r="I39" s="49">
        <f t="shared" si="11"/>
        <v>3.5542905103362714E-2</v>
      </c>
      <c r="J39" s="89">
        <f>CHOOSE(MATCH(CaseSel,{"Base","Bull","Bear"},0), J40, J41, J42)</f>
        <v>2.8000000000000001E-2</v>
      </c>
      <c r="K39" s="89">
        <f>CHOOSE(MATCH(CaseSel,{"Base","Bull","Bear"},0), K40, K41, K42)</f>
        <v>2.5000000000000001E-2</v>
      </c>
      <c r="L39" s="89">
        <f>CHOOSE(MATCH(CaseSel,{"Base","Bull","Bear"},0), L40, L41, L42)</f>
        <v>2.3E-2</v>
      </c>
      <c r="M39" s="89">
        <f>CHOOSE(MATCH(CaseSel,{"Base","Bull","Bear"},0), M40, M41, M42)</f>
        <v>0.02</v>
      </c>
      <c r="N39" s="89">
        <f>CHOOSE(MATCH(CaseSel,{"Base","Bull","Bear"},0), N40, N41, N42)</f>
        <v>1.7999999999999999E-2</v>
      </c>
      <c r="O39" s="89">
        <f>CHOOSE(MATCH(CaseSel,{"Base","Bull","Bear"},0), O40, O41, O42)</f>
        <v>1.6E-2</v>
      </c>
    </row>
    <row r="40" spans="2:15" x14ac:dyDescent="0.3">
      <c r="B40" s="27" t="s">
        <v>153</v>
      </c>
      <c r="C40" s="25"/>
      <c r="D40" s="25"/>
      <c r="E40" s="25"/>
      <c r="F40" s="25"/>
      <c r="G40" s="25"/>
      <c r="H40" s="25"/>
      <c r="I40" s="56"/>
      <c r="J40" s="52">
        <v>2.8000000000000001E-2</v>
      </c>
      <c r="K40" s="52">
        <v>2.5000000000000001E-2</v>
      </c>
      <c r="L40" s="52">
        <v>2.3E-2</v>
      </c>
      <c r="M40" s="52">
        <v>0.02</v>
      </c>
      <c r="N40" s="52">
        <v>1.7999999999999999E-2</v>
      </c>
      <c r="O40" s="52">
        <v>1.6E-2</v>
      </c>
    </row>
    <row r="41" spans="2:15" x14ac:dyDescent="0.3">
      <c r="B41" s="27" t="s">
        <v>154</v>
      </c>
      <c r="C41" s="25"/>
      <c r="D41" s="25"/>
      <c r="E41" s="25"/>
      <c r="F41" s="25"/>
      <c r="G41" s="25"/>
      <c r="H41" s="25"/>
      <c r="I41" s="56"/>
      <c r="J41" s="52">
        <v>2.5000000000000001E-2</v>
      </c>
      <c r="K41" s="52">
        <v>2.1999999999999999E-2</v>
      </c>
      <c r="L41" s="52">
        <v>0.02</v>
      </c>
      <c r="M41" s="52">
        <v>1.7999999999999999E-2</v>
      </c>
      <c r="N41" s="52">
        <v>1.4999999999999999E-2</v>
      </c>
      <c r="O41" s="52">
        <v>1.2999999999999999E-2</v>
      </c>
    </row>
    <row r="42" spans="2:15" x14ac:dyDescent="0.3">
      <c r="B42" s="27" t="s">
        <v>155</v>
      </c>
      <c r="C42" s="25"/>
      <c r="D42" s="25"/>
      <c r="E42" s="25"/>
      <c r="F42" s="25"/>
      <c r="G42" s="25"/>
      <c r="H42" s="25"/>
      <c r="I42" s="56"/>
      <c r="J42" s="52">
        <v>0.03</v>
      </c>
      <c r="K42" s="52">
        <v>2.8000000000000001E-2</v>
      </c>
      <c r="L42" s="52">
        <v>2.5000000000000001E-2</v>
      </c>
      <c r="M42" s="52">
        <v>2.3E-2</v>
      </c>
      <c r="N42" s="52">
        <v>0.02</v>
      </c>
      <c r="O42" s="52">
        <v>1.7999999999999999E-2</v>
      </c>
    </row>
    <row r="43" spans="2:15" x14ac:dyDescent="0.3">
      <c r="B43" s="63"/>
      <c r="C43" s="25"/>
      <c r="D43" s="25"/>
      <c r="E43" s="25"/>
      <c r="F43" s="25"/>
      <c r="G43" s="25"/>
      <c r="H43" s="25"/>
      <c r="I43" s="56"/>
      <c r="J43" s="25"/>
      <c r="K43" s="25"/>
      <c r="L43" s="25"/>
      <c r="M43" s="25"/>
      <c r="N43" s="25"/>
      <c r="O43" s="25"/>
    </row>
    <row r="44" spans="2:15" ht="16.2" thickBot="1" x14ac:dyDescent="0.35">
      <c r="B44" s="58" t="s">
        <v>149</v>
      </c>
      <c r="C44" s="59"/>
      <c r="D44" s="59"/>
      <c r="E44" s="59"/>
      <c r="F44" s="59"/>
      <c r="G44" s="59"/>
      <c r="H44" s="59"/>
      <c r="I44" s="60"/>
      <c r="J44" s="59"/>
      <c r="K44" s="59"/>
      <c r="L44" s="59"/>
      <c r="M44" s="59"/>
      <c r="N44" s="59"/>
      <c r="O44" s="59"/>
    </row>
    <row r="45" spans="2:15" ht="16.2" thickTop="1" x14ac:dyDescent="0.3">
      <c r="B45" s="43" t="s">
        <v>139</v>
      </c>
      <c r="C45" s="44">
        <f>'Income Statement'!C43</f>
        <v>10.220000000000001</v>
      </c>
      <c r="D45" s="44">
        <f>'Income Statement'!D43</f>
        <v>62.39</v>
      </c>
      <c r="E45" s="44">
        <f>'Income Statement'!E43</f>
        <v>133.19999999999999</v>
      </c>
      <c r="F45" s="44">
        <f>'Income Statement'!F43</f>
        <v>191.6</v>
      </c>
      <c r="G45" s="44">
        <f>'Income Statement'!G43</f>
        <v>363.1</v>
      </c>
      <c r="H45" s="44">
        <f>'Income Statement'!H43</f>
        <v>369.4</v>
      </c>
      <c r="I45" s="45">
        <f>'Income Statement'!I43</f>
        <v>210.4</v>
      </c>
      <c r="J45" s="46">
        <f t="shared" ref="J45:O45" si="12">J7*J46</f>
        <v>244.57623749999999</v>
      </c>
      <c r="K45" s="46">
        <f t="shared" si="12"/>
        <v>277.2795744</v>
      </c>
      <c r="L45" s="46">
        <f t="shared" si="12"/>
        <v>311.93952119999994</v>
      </c>
      <c r="M45" s="46">
        <f t="shared" si="12"/>
        <v>337.72652161919996</v>
      </c>
      <c r="N45" s="46">
        <f t="shared" si="12"/>
        <v>343.75735236240001</v>
      </c>
      <c r="O45" s="46">
        <f t="shared" si="12"/>
        <v>351.04500823248287</v>
      </c>
    </row>
    <row r="46" spans="2:15" x14ac:dyDescent="0.3">
      <c r="B46" s="30" t="s">
        <v>156</v>
      </c>
      <c r="C46" s="50">
        <f t="shared" ref="C46:I46" si="13">C45/C7</f>
        <v>1.0280655869630822E-2</v>
      </c>
      <c r="D46" s="50">
        <f t="shared" si="13"/>
        <v>4.2994969333608989E-2</v>
      </c>
      <c r="E46" s="50">
        <f t="shared" si="13"/>
        <v>4.7688947764133037E-2</v>
      </c>
      <c r="F46" s="50">
        <f t="shared" si="13"/>
        <v>6.8013205069042626E-2</v>
      </c>
      <c r="G46" s="50">
        <f t="shared" si="13"/>
        <v>0.11059669215071123</v>
      </c>
      <c r="H46" s="50">
        <f t="shared" si="13"/>
        <v>0.11457460996867343</v>
      </c>
      <c r="I46" s="51">
        <f t="shared" si="13"/>
        <v>3.8389256846753157E-2</v>
      </c>
      <c r="J46" s="89">
        <f>CHOOSE(MATCH(CaseSel,{"Base","Bull","Bear"},0), J47, J48, J49)</f>
        <v>3.5000000000000003E-2</v>
      </c>
      <c r="K46" s="89">
        <f>CHOOSE(MATCH(CaseSel,{"Base","Bull","Bear"},0), K47, K48, K49)</f>
        <v>3.2000000000000001E-2</v>
      </c>
      <c r="L46" s="89">
        <f>CHOOSE(MATCH(CaseSel,{"Base","Bull","Bear"},0), L47, L48, L49)</f>
        <v>0.03</v>
      </c>
      <c r="M46" s="89">
        <f>CHOOSE(MATCH(CaseSel,{"Base","Bull","Bear"},0), M47, M48, M49)</f>
        <v>2.8000000000000001E-2</v>
      </c>
      <c r="N46" s="89">
        <f>CHOOSE(MATCH(CaseSel,{"Base","Bull","Bear"},0), N47, N48, N49)</f>
        <v>2.5000000000000001E-2</v>
      </c>
      <c r="O46" s="89">
        <f>CHOOSE(MATCH(CaseSel,{"Base","Bull","Bear"},0), O47, O48, O49)</f>
        <v>2.3E-2</v>
      </c>
    </row>
    <row r="47" spans="2:15" x14ac:dyDescent="0.3">
      <c r="B47" s="2" t="s">
        <v>153</v>
      </c>
      <c r="C47" s="25"/>
      <c r="D47" s="25"/>
      <c r="E47" s="25"/>
      <c r="F47" s="25"/>
      <c r="G47" s="25"/>
      <c r="H47" s="25"/>
      <c r="I47" s="56"/>
      <c r="J47" s="52">
        <v>3.5000000000000003E-2</v>
      </c>
      <c r="K47" s="52">
        <v>3.2000000000000001E-2</v>
      </c>
      <c r="L47" s="52">
        <v>0.03</v>
      </c>
      <c r="M47" s="52">
        <v>2.8000000000000001E-2</v>
      </c>
      <c r="N47" s="52">
        <v>2.5000000000000001E-2</v>
      </c>
      <c r="O47" s="52">
        <v>2.3E-2</v>
      </c>
    </row>
    <row r="48" spans="2:15" x14ac:dyDescent="0.3">
      <c r="B48" s="2" t="s">
        <v>154</v>
      </c>
      <c r="C48" s="25"/>
      <c r="D48" s="25"/>
      <c r="E48" s="25"/>
      <c r="F48" s="25"/>
      <c r="G48" s="25"/>
      <c r="H48" s="25"/>
      <c r="I48" s="56"/>
      <c r="J48" s="52">
        <v>2.8000000000000001E-2</v>
      </c>
      <c r="K48" s="52">
        <v>2.4E-2</v>
      </c>
      <c r="L48" s="52">
        <v>0.02</v>
      </c>
      <c r="M48" s="52">
        <v>1.7999999999999999E-2</v>
      </c>
      <c r="N48" s="52">
        <v>1.4999999999999999E-2</v>
      </c>
      <c r="O48" s="52">
        <v>1.2999999999999999E-2</v>
      </c>
    </row>
    <row r="49" spans="2:15" x14ac:dyDescent="0.3">
      <c r="B49" s="2" t="s">
        <v>155</v>
      </c>
      <c r="C49" s="25"/>
      <c r="D49" s="25"/>
      <c r="E49" s="25"/>
      <c r="F49" s="25"/>
      <c r="G49" s="25"/>
      <c r="H49" s="25"/>
      <c r="I49" s="56"/>
      <c r="J49" s="52">
        <v>0.04</v>
      </c>
      <c r="K49" s="52">
        <v>3.7999999999999999E-2</v>
      </c>
      <c r="L49" s="52">
        <v>3.5000000000000003E-2</v>
      </c>
      <c r="M49" s="52">
        <v>3.2000000000000001E-2</v>
      </c>
      <c r="N49" s="52">
        <v>0.03</v>
      </c>
      <c r="O49" s="52">
        <v>2.8000000000000001E-2</v>
      </c>
    </row>
    <row r="50" spans="2:15" x14ac:dyDescent="0.3">
      <c r="B50" s="31"/>
      <c r="C50" s="31"/>
      <c r="D50" s="31"/>
      <c r="E50" s="31"/>
      <c r="F50" s="31"/>
      <c r="G50" s="31"/>
      <c r="H50" s="31"/>
      <c r="I50" s="54"/>
      <c r="J50" s="31"/>
      <c r="K50" s="31"/>
      <c r="L50" s="31"/>
      <c r="M50" s="31"/>
      <c r="N50" s="31"/>
      <c r="O50" s="31"/>
    </row>
    <row r="51" spans="2:15" x14ac:dyDescent="0.3">
      <c r="B51" s="43" t="s">
        <v>140</v>
      </c>
      <c r="C51" s="44">
        <f>'Cash Flow'!C31+'Cash Flow'!C32</f>
        <v>-3.36</v>
      </c>
      <c r="D51" s="44">
        <f>'Cash Flow'!D31+'Cash Flow'!D32</f>
        <v>-3.24</v>
      </c>
      <c r="E51" s="44">
        <f>'Cash Flow'!E31+'Cash Flow'!E32</f>
        <v>-5.46</v>
      </c>
      <c r="F51" s="44">
        <f>'Cash Flow'!F31+'Cash Flow'!F32</f>
        <v>-6.61</v>
      </c>
      <c r="G51" s="44">
        <f>'Cash Flow'!G31+'Cash Flow'!G32</f>
        <v>-68.150000000000006</v>
      </c>
      <c r="H51" s="44">
        <f>'Cash Flow'!H31+'Cash Flow'!H32</f>
        <v>-30.330000000000002</v>
      </c>
      <c r="I51" s="45">
        <f>'Cash Flow'!I31+'Cash Flow'!I32</f>
        <v>-28.32</v>
      </c>
      <c r="J51" s="46">
        <f t="shared" ref="J51:O51" si="14">-ABS(J7*J52)</f>
        <v>-69.878924999999995</v>
      </c>
      <c r="K51" s="46">
        <f t="shared" si="14"/>
        <v>-86.649867</v>
      </c>
      <c r="L51" s="46">
        <f t="shared" si="14"/>
        <v>-93.581856359999989</v>
      </c>
      <c r="M51" s="46">
        <f t="shared" si="14"/>
        <v>-108.55495337759997</v>
      </c>
      <c r="N51" s="46">
        <f t="shared" si="14"/>
        <v>-110.00235275596799</v>
      </c>
      <c r="O51" s="46">
        <f t="shared" si="14"/>
        <v>-122.1026115591245</v>
      </c>
    </row>
    <row r="52" spans="2:15" x14ac:dyDescent="0.3">
      <c r="B52" s="29" t="s">
        <v>156</v>
      </c>
      <c r="C52" s="50">
        <f t="shared" ref="C52:I52" si="15">C51/C7</f>
        <v>-3.3799416557690372E-3</v>
      </c>
      <c r="D52" s="50">
        <f t="shared" si="15"/>
        <v>-2.2327889187512924E-3</v>
      </c>
      <c r="E52" s="50">
        <f t="shared" si="15"/>
        <v>-1.9548172281694176E-3</v>
      </c>
      <c r="F52" s="50">
        <f t="shared" si="15"/>
        <v>-2.3463845798871183E-3</v>
      </c>
      <c r="G52" s="50">
        <f t="shared" si="15"/>
        <v>-2.0757820352715423E-2</v>
      </c>
      <c r="H52" s="50">
        <f t="shared" si="15"/>
        <v>-9.40727644924165E-3</v>
      </c>
      <c r="I52" s="51">
        <f t="shared" si="15"/>
        <v>-5.1672231649241883E-3</v>
      </c>
      <c r="J52" s="89">
        <f>CHOOSE(MATCH(CaseSel,{"Base","Bull","Bear"},0), J53, J54, J55)</f>
        <v>0.01</v>
      </c>
      <c r="K52" s="89">
        <f>CHOOSE(MATCH(CaseSel,{"Base","Bull","Bear"},0), K53, K54, K55)</f>
        <v>0.01</v>
      </c>
      <c r="L52" s="89">
        <f>CHOOSE(MATCH(CaseSel,{"Base","Bull","Bear"},0), L53, L54, L55)</f>
        <v>8.9999999999999993E-3</v>
      </c>
      <c r="M52" s="89">
        <f>CHOOSE(MATCH(CaseSel,{"Base","Bull","Bear"},0), M53, M54, M55)</f>
        <v>8.9999999999999993E-3</v>
      </c>
      <c r="N52" s="89">
        <f>CHOOSE(MATCH(CaseSel,{"Base","Bull","Bear"},0), N53, N54, N55)</f>
        <v>8.0000000000000002E-3</v>
      </c>
      <c r="O52" s="89">
        <f>CHOOSE(MATCH(CaseSel,{"Base","Bull","Bear"},0), O53, O54, O55)</f>
        <v>8.0000000000000002E-3</v>
      </c>
    </row>
    <row r="53" spans="2:15" x14ac:dyDescent="0.3">
      <c r="B53" s="2" t="s">
        <v>153</v>
      </c>
      <c r="C53" s="25"/>
      <c r="D53" s="25"/>
      <c r="E53" s="25"/>
      <c r="F53" s="25"/>
      <c r="G53" s="25"/>
      <c r="H53" s="25"/>
      <c r="I53" s="56"/>
      <c r="J53" s="52">
        <v>0.01</v>
      </c>
      <c r="K53" s="52">
        <v>0.01</v>
      </c>
      <c r="L53" s="52">
        <v>8.9999999999999993E-3</v>
      </c>
      <c r="M53" s="52">
        <v>8.9999999999999993E-3</v>
      </c>
      <c r="N53" s="52">
        <v>8.0000000000000002E-3</v>
      </c>
      <c r="O53" s="52">
        <v>8.0000000000000002E-3</v>
      </c>
    </row>
    <row r="54" spans="2:15" x14ac:dyDescent="0.3">
      <c r="B54" s="2" t="s">
        <v>154</v>
      </c>
      <c r="C54" s="25"/>
      <c r="D54" s="25"/>
      <c r="E54" s="25"/>
      <c r="F54" s="25"/>
      <c r="G54" s="25"/>
      <c r="H54" s="25"/>
      <c r="I54" s="56"/>
      <c r="J54" s="52">
        <v>8.0000000000000002E-3</v>
      </c>
      <c r="K54" s="52">
        <v>7.0000000000000001E-3</v>
      </c>
      <c r="L54" s="52">
        <v>6.0000000000000001E-3</v>
      </c>
      <c r="M54" s="52">
        <v>5.0000000000000001E-3</v>
      </c>
      <c r="N54" s="52">
        <v>5.0000000000000001E-3</v>
      </c>
      <c r="O54" s="52">
        <v>4.0000000000000001E-3</v>
      </c>
    </row>
    <row r="55" spans="2:15" x14ac:dyDescent="0.3">
      <c r="B55" s="2" t="s">
        <v>155</v>
      </c>
      <c r="C55" s="25"/>
      <c r="D55" s="25"/>
      <c r="E55" s="25"/>
      <c r="F55" s="25"/>
      <c r="G55" s="25"/>
      <c r="H55" s="25"/>
      <c r="I55" s="56"/>
      <c r="J55" s="52">
        <v>1.2E-2</v>
      </c>
      <c r="K55" s="52">
        <v>1.2E-2</v>
      </c>
      <c r="L55" s="52">
        <v>1.0999999999999999E-2</v>
      </c>
      <c r="M55" s="52">
        <v>1.0999999999999999E-2</v>
      </c>
      <c r="N55" s="52">
        <v>0.01</v>
      </c>
      <c r="O55" s="52">
        <v>0.01</v>
      </c>
    </row>
    <row r="56" spans="2:15" x14ac:dyDescent="0.3">
      <c r="B56" s="63"/>
      <c r="C56" s="25"/>
      <c r="D56" s="25"/>
      <c r="E56" s="25"/>
      <c r="F56" s="25"/>
      <c r="G56" s="25"/>
      <c r="H56" s="25"/>
      <c r="I56" s="56"/>
      <c r="J56" s="25"/>
      <c r="K56" s="25"/>
      <c r="L56" s="25"/>
      <c r="M56" s="25"/>
      <c r="N56" s="25"/>
      <c r="O56" s="25"/>
    </row>
    <row r="57" spans="2:15" ht="16.2" thickBot="1" x14ac:dyDescent="0.35">
      <c r="B57" s="61" t="s">
        <v>150</v>
      </c>
      <c r="C57" s="59"/>
      <c r="D57" s="59"/>
      <c r="E57" s="59"/>
      <c r="F57" s="59"/>
      <c r="G57" s="59"/>
      <c r="H57" s="59"/>
      <c r="I57" s="60"/>
      <c r="J57" s="59"/>
      <c r="K57" s="59"/>
      <c r="L57" s="59"/>
      <c r="M57" s="59"/>
      <c r="N57" s="59"/>
      <c r="O57" s="59"/>
    </row>
    <row r="58" spans="2:15" ht="16.2" thickTop="1" x14ac:dyDescent="0.3">
      <c r="B58" s="43" t="s">
        <v>141</v>
      </c>
      <c r="C58" s="44">
        <f>'Income Statement'!C21</f>
        <v>-73.95</v>
      </c>
      <c r="D58" s="44">
        <f>'Income Statement'!D21</f>
        <v>-77.87</v>
      </c>
      <c r="E58" s="44">
        <f>'Income Statement'!E21</f>
        <v>-103.2</v>
      </c>
      <c r="F58" s="44">
        <f>'Income Statement'!F21</f>
        <v>-171.9</v>
      </c>
      <c r="G58" s="44">
        <f>'Income Statement'!G21</f>
        <v>-275.7</v>
      </c>
      <c r="H58" s="44">
        <f>'Income Statement'!H21</f>
        <v>-317.2</v>
      </c>
      <c r="I58" s="45">
        <f>'Income Statement'!I21</f>
        <v>-207</v>
      </c>
      <c r="J58" s="46">
        <f>CHOOSE(MATCH(CaseSel,{"Base","Bull","Bear"},0), J60, J61, J62)</f>
        <v>-200</v>
      </c>
      <c r="K58" s="46">
        <f>CHOOSE(MATCH(CaseSel,{"Base","Bull","Bear"},0), K60, K61, K62)</f>
        <v>-195</v>
      </c>
      <c r="L58" s="46">
        <f>CHOOSE(MATCH(CaseSel,{"Base","Bull","Bear"},0), L60, L61, L62)</f>
        <v>-190</v>
      </c>
      <c r="M58" s="46">
        <f>CHOOSE(MATCH(CaseSel,{"Base","Bull","Bear"},0), M60, M61, M62)</f>
        <v>-185</v>
      </c>
      <c r="N58" s="46">
        <f>CHOOSE(MATCH(CaseSel,{"Base","Bull","Bear"},0), N60, N61, N62)</f>
        <v>-180</v>
      </c>
      <c r="O58" s="46">
        <f>CHOOSE(MATCH(CaseSel,{"Base","Bull","Bear"},0), O60, O61, O62)</f>
        <v>-175</v>
      </c>
    </row>
    <row r="59" spans="2:15" x14ac:dyDescent="0.3">
      <c r="B59" s="29" t="s">
        <v>152</v>
      </c>
      <c r="C59" s="55"/>
      <c r="D59" s="50">
        <f t="shared" ref="D59:I59" si="16">D58/C58-1</f>
        <v>5.3008789722785776E-2</v>
      </c>
      <c r="E59" s="50">
        <f t="shared" si="16"/>
        <v>0.32528573263130856</v>
      </c>
      <c r="F59" s="50">
        <f t="shared" si="16"/>
        <v>0.66569767441860472</v>
      </c>
      <c r="G59" s="50">
        <f t="shared" si="16"/>
        <v>0.6038394415357764</v>
      </c>
      <c r="H59" s="50">
        <f t="shared" si="16"/>
        <v>0.15052593398621683</v>
      </c>
      <c r="I59" s="51">
        <f t="shared" si="16"/>
        <v>-0.34741488020176547</v>
      </c>
      <c r="J59" s="55"/>
      <c r="K59" s="55"/>
      <c r="L59" s="55"/>
      <c r="M59" s="55"/>
      <c r="N59" s="55"/>
      <c r="O59" s="55"/>
    </row>
    <row r="60" spans="2:15" x14ac:dyDescent="0.3">
      <c r="B60" s="2" t="s">
        <v>153</v>
      </c>
      <c r="C60" s="25"/>
      <c r="D60" s="25"/>
      <c r="E60" s="25"/>
      <c r="F60" s="25"/>
      <c r="G60" s="25"/>
      <c r="H60" s="25"/>
      <c r="I60" s="56"/>
      <c r="J60" s="53">
        <v>-200</v>
      </c>
      <c r="K60" s="53">
        <v>-195</v>
      </c>
      <c r="L60" s="53">
        <v>-190</v>
      </c>
      <c r="M60" s="53">
        <v>-185</v>
      </c>
      <c r="N60" s="53">
        <v>-180</v>
      </c>
      <c r="O60" s="53">
        <v>-175</v>
      </c>
    </row>
    <row r="61" spans="2:15" x14ac:dyDescent="0.3">
      <c r="B61" s="2" t="s">
        <v>154</v>
      </c>
      <c r="C61" s="25"/>
      <c r="D61" s="25"/>
      <c r="E61" s="25"/>
      <c r="F61" s="25"/>
      <c r="G61" s="25"/>
      <c r="H61" s="25"/>
      <c r="I61" s="56"/>
      <c r="J61" s="53">
        <v>-180</v>
      </c>
      <c r="K61" s="53">
        <v>-165</v>
      </c>
      <c r="L61" s="53">
        <v>-150</v>
      </c>
      <c r="M61" s="53">
        <v>-135</v>
      </c>
      <c r="N61" s="53">
        <v>-120</v>
      </c>
      <c r="O61" s="53">
        <v>-110</v>
      </c>
    </row>
    <row r="62" spans="2:15" x14ac:dyDescent="0.3">
      <c r="B62" s="2" t="s">
        <v>155</v>
      </c>
      <c r="C62" s="25"/>
      <c r="D62" s="25"/>
      <c r="E62" s="25"/>
      <c r="F62" s="25"/>
      <c r="G62" s="25"/>
      <c r="H62" s="25"/>
      <c r="I62" s="56"/>
      <c r="J62" s="53">
        <v>-210</v>
      </c>
      <c r="K62" s="53">
        <v>-210</v>
      </c>
      <c r="L62" s="53">
        <v>-205</v>
      </c>
      <c r="M62" s="53">
        <v>-200</v>
      </c>
      <c r="N62" s="53">
        <v>-195</v>
      </c>
      <c r="O62" s="53">
        <v>-190</v>
      </c>
    </row>
    <row r="63" spans="2:15" x14ac:dyDescent="0.3">
      <c r="B63" s="63"/>
      <c r="C63" s="25"/>
      <c r="D63" s="25"/>
      <c r="E63" s="25"/>
      <c r="F63" s="25"/>
      <c r="G63" s="25"/>
      <c r="H63" s="25"/>
      <c r="I63" s="56"/>
      <c r="J63" s="65"/>
      <c r="K63" s="65"/>
      <c r="L63" s="65"/>
      <c r="M63" s="65"/>
      <c r="N63" s="65"/>
      <c r="O63" s="65"/>
    </row>
    <row r="64" spans="2:15" ht="16.2" thickBot="1" x14ac:dyDescent="0.35">
      <c r="B64" s="61" t="s">
        <v>151</v>
      </c>
      <c r="C64" s="59"/>
      <c r="D64" s="59"/>
      <c r="E64" s="59"/>
      <c r="F64" s="59"/>
      <c r="G64" s="59"/>
      <c r="H64" s="59"/>
      <c r="I64" s="60"/>
      <c r="J64" s="59"/>
      <c r="K64" s="59"/>
      <c r="L64" s="59"/>
      <c r="M64" s="59"/>
      <c r="N64" s="59"/>
      <c r="O64" s="59"/>
    </row>
    <row r="65" spans="2:15" ht="16.2" thickTop="1" x14ac:dyDescent="0.3">
      <c r="B65" s="43" t="s">
        <v>142</v>
      </c>
      <c r="C65" s="25"/>
      <c r="D65" s="25"/>
      <c r="E65" s="25"/>
      <c r="F65" s="25"/>
      <c r="G65" s="25"/>
      <c r="H65" s="25"/>
      <c r="I65" s="56"/>
      <c r="J65" s="47">
        <f>CHOOSE(MATCH(CaseSel,{"Base","Bull","Bear"},0), J67, J68, J69)</f>
        <v>0.15</v>
      </c>
      <c r="K65" s="47">
        <f>CHOOSE(MATCH(CaseSel,{"Base","Bull","Bear"},0), K67, K68, K69)</f>
        <v>0.16</v>
      </c>
      <c r="L65" s="47">
        <f>CHOOSE(MATCH(CaseSel,{"Base","Bull","Bear"},0), L67, L68, L69)</f>
        <v>0.17</v>
      </c>
      <c r="M65" s="47">
        <f>CHOOSE(MATCH(CaseSel,{"Base","Bull","Bear"},0), M67, M68, M69)</f>
        <v>0.18</v>
      </c>
      <c r="N65" s="47">
        <f>CHOOSE(MATCH(CaseSel,{"Base","Bull","Bear"},0), N67, N68, N69)</f>
        <v>0.19</v>
      </c>
      <c r="O65" s="47">
        <f>CHOOSE(MATCH(CaseSel,{"Base","Bull","Bear"},0), O67, O68, O69)</f>
        <v>0.2</v>
      </c>
    </row>
    <row r="66" spans="2:15" x14ac:dyDescent="0.3">
      <c r="B66" s="29" t="s">
        <v>157</v>
      </c>
      <c r="C66" s="50">
        <f>IF('Income Statement'!C25&gt;0,'Income Statement'!C26/'Income Statement'!C25,0)</f>
        <v>5.6977573500277393E-2</v>
      </c>
      <c r="D66" s="50">
        <f>IF('Income Statement'!D25&gt;0,'Income Statement'!D26/'Income Statement'!D25,0)</f>
        <v>0</v>
      </c>
      <c r="E66" s="50">
        <f>IF('Income Statement'!E25&gt;0,'Income Statement'!E26/'Income Statement'!E25,0)</f>
        <v>0.23708666522584948</v>
      </c>
      <c r="F66" s="50">
        <f>IF('Income Statement'!F25&gt;0,'Income Statement'!F26/'Income Statement'!F25,0)</f>
        <v>0</v>
      </c>
      <c r="G66" s="50">
        <f>IF('Income Statement'!G25&gt;0,'Income Statement'!G26/'Income Statement'!G25,0)</f>
        <v>6.2702020865634797E-2</v>
      </c>
      <c r="H66" s="50">
        <f>IF('Income Statement'!H25&gt;0,'Income Statement'!H26/'Income Statement'!H25,0)</f>
        <v>1.3908188585607941E-2</v>
      </c>
      <c r="I66" s="51">
        <f>IF('Income Statement'!I25&gt;0,'Income Statement'!I26/'Income Statement'!I25,0)</f>
        <v>0.13147276310363759</v>
      </c>
      <c r="J66" s="55"/>
      <c r="K66" s="55"/>
      <c r="L66" s="55"/>
      <c r="M66" s="55"/>
      <c r="N66" s="55"/>
      <c r="O66" s="55"/>
    </row>
    <row r="67" spans="2:15" x14ac:dyDescent="0.3">
      <c r="B67" s="2" t="s">
        <v>153</v>
      </c>
      <c r="C67" s="25"/>
      <c r="D67" s="25"/>
      <c r="E67" s="25"/>
      <c r="F67" s="25"/>
      <c r="G67" s="25"/>
      <c r="H67" s="25"/>
      <c r="I67" s="56"/>
      <c r="J67" s="52">
        <v>0.15</v>
      </c>
      <c r="K67" s="52">
        <v>0.16</v>
      </c>
      <c r="L67" s="52">
        <v>0.17</v>
      </c>
      <c r="M67" s="52">
        <v>0.18</v>
      </c>
      <c r="N67" s="52">
        <v>0.19</v>
      </c>
      <c r="O67" s="52">
        <v>0.2</v>
      </c>
    </row>
    <row r="68" spans="2:15" x14ac:dyDescent="0.3">
      <c r="B68" s="2" t="s">
        <v>154</v>
      </c>
      <c r="C68" s="25"/>
      <c r="D68" s="25"/>
      <c r="E68" s="25"/>
      <c r="F68" s="25"/>
      <c r="G68" s="25"/>
      <c r="H68" s="25"/>
      <c r="I68" s="56"/>
      <c r="J68" s="52">
        <v>0.13</v>
      </c>
      <c r="K68" s="52">
        <v>0.14000000000000001</v>
      </c>
      <c r="L68" s="52">
        <v>0.15</v>
      </c>
      <c r="M68" s="52">
        <v>0.16</v>
      </c>
      <c r="N68" s="52">
        <v>0.17</v>
      </c>
      <c r="O68" s="52">
        <v>0.18</v>
      </c>
    </row>
    <row r="69" spans="2:15" x14ac:dyDescent="0.3">
      <c r="B69" s="2" t="s">
        <v>155</v>
      </c>
      <c r="C69" s="25"/>
      <c r="D69" s="25"/>
      <c r="E69" s="25"/>
      <c r="F69" s="25"/>
      <c r="G69" s="25"/>
      <c r="H69" s="25"/>
      <c r="I69" s="56"/>
      <c r="J69" s="52">
        <v>0.16</v>
      </c>
      <c r="K69" s="52">
        <v>0.17</v>
      </c>
      <c r="L69" s="52">
        <v>0.18</v>
      </c>
      <c r="M69" s="52">
        <v>0.19</v>
      </c>
      <c r="N69" s="52">
        <v>0.2</v>
      </c>
      <c r="O69" s="52">
        <v>0.21</v>
      </c>
    </row>
    <row r="70" spans="2:15" x14ac:dyDescent="0.3">
      <c r="B70" s="31"/>
      <c r="C70" s="31"/>
      <c r="D70" s="31"/>
      <c r="E70" s="31"/>
      <c r="F70" s="31"/>
      <c r="G70" s="31"/>
      <c r="H70" s="31"/>
      <c r="I70" s="54"/>
      <c r="J70" s="31"/>
      <c r="K70" s="31"/>
      <c r="L70" s="31"/>
      <c r="M70" s="31"/>
      <c r="N70" s="31"/>
      <c r="O70" s="31"/>
    </row>
    <row r="71" spans="2:15" ht="16.2" thickBot="1" x14ac:dyDescent="0.35">
      <c r="B71" s="62" t="s">
        <v>143</v>
      </c>
      <c r="C71" s="59"/>
      <c r="D71" s="59"/>
      <c r="E71" s="59"/>
      <c r="F71" s="59"/>
      <c r="G71" s="59"/>
      <c r="H71" s="59"/>
      <c r="I71" s="60"/>
      <c r="J71" s="59"/>
      <c r="K71" s="59"/>
      <c r="L71" s="59"/>
      <c r="M71" s="59"/>
      <c r="N71" s="59"/>
      <c r="O71" s="59"/>
    </row>
    <row r="72" spans="2:15" ht="16.2" thickTop="1" x14ac:dyDescent="0.3">
      <c r="B72" s="31"/>
      <c r="C72" s="31"/>
      <c r="D72" s="31"/>
      <c r="E72" s="31"/>
      <c r="F72" s="31"/>
      <c r="G72" s="31"/>
      <c r="H72" s="31"/>
      <c r="I72" s="54"/>
      <c r="J72" s="31"/>
      <c r="K72" s="31"/>
      <c r="L72" s="31"/>
      <c r="M72" s="31"/>
      <c r="N72" s="31"/>
      <c r="O72" s="31"/>
    </row>
    <row r="73" spans="2:15" x14ac:dyDescent="0.3">
      <c r="B73" s="43" t="s">
        <v>144</v>
      </c>
      <c r="C73" s="44">
        <f>'Balance Sheet'!C11</f>
        <v>161.4</v>
      </c>
      <c r="D73" s="44">
        <f>'Balance Sheet'!D11</f>
        <v>297</v>
      </c>
      <c r="E73" s="44">
        <f>'Balance Sheet'!E11</f>
        <v>514.5</v>
      </c>
      <c r="F73" s="44">
        <f>'Balance Sheet'!F11</f>
        <v>702.8</v>
      </c>
      <c r="G73" s="44">
        <f>'Balance Sheet'!G11</f>
        <v>953.8</v>
      </c>
      <c r="H73" s="44">
        <f>'Balance Sheet'!H11</f>
        <v>1414.3</v>
      </c>
      <c r="I73" s="45">
        <f>'Balance Sheet'!I11</f>
        <v>1819.4</v>
      </c>
      <c r="J73" s="46">
        <f t="shared" ref="J73:O73" si="17">J7*J74</f>
        <v>2236.1255999999998</v>
      </c>
      <c r="K73" s="46">
        <f t="shared" si="17"/>
        <v>2686.1458769999999</v>
      </c>
      <c r="L73" s="46">
        <f t="shared" si="17"/>
        <v>3119.3952119999999</v>
      </c>
      <c r="M73" s="46">
        <f t="shared" si="17"/>
        <v>3497.8818310559991</v>
      </c>
      <c r="N73" s="46">
        <f t="shared" si="17"/>
        <v>3850.0823464588802</v>
      </c>
      <c r="O73" s="46">
        <f t="shared" si="17"/>
        <v>4120.9631401204515</v>
      </c>
    </row>
    <row r="74" spans="2:15" x14ac:dyDescent="0.3">
      <c r="B74" s="29" t="s">
        <v>156</v>
      </c>
      <c r="C74" s="50">
        <f t="shared" ref="C74:I74" si="18">C73/C7</f>
        <v>0.16235791167890554</v>
      </c>
      <c r="D74" s="50">
        <f t="shared" si="18"/>
        <v>0.2046723175522018</v>
      </c>
      <c r="E74" s="50">
        <f t="shared" si="18"/>
        <v>0.18420393111596434</v>
      </c>
      <c r="F74" s="50">
        <f t="shared" si="18"/>
        <v>0.24947641191296013</v>
      </c>
      <c r="G74" s="50">
        <f t="shared" si="18"/>
        <v>0.29051810788583959</v>
      </c>
      <c r="H74" s="50">
        <f t="shared" si="18"/>
        <v>0.43866505381346732</v>
      </c>
      <c r="I74" s="51">
        <f t="shared" si="18"/>
        <v>0.33196489499516491</v>
      </c>
      <c r="J74" s="89">
        <f>CHOOSE(MATCH(CaseSel,{"Base","Bull","Bear"},0), J75, J76, J77)</f>
        <v>0.32</v>
      </c>
      <c r="K74" s="89">
        <f>CHOOSE(MATCH(CaseSel,{"Base","Bull","Bear"},0), K75, K76, K77)</f>
        <v>0.31</v>
      </c>
      <c r="L74" s="89">
        <f>CHOOSE(MATCH(CaseSel,{"Base","Bull","Bear"},0), L75, L76, L77)</f>
        <v>0.3</v>
      </c>
      <c r="M74" s="89">
        <f>CHOOSE(MATCH(CaseSel,{"Base","Bull","Bear"},0), M75, M76, M77)</f>
        <v>0.28999999999999998</v>
      </c>
      <c r="N74" s="89">
        <f>CHOOSE(MATCH(CaseSel,{"Base","Bull","Bear"},0), N75, N76, N77)</f>
        <v>0.28000000000000003</v>
      </c>
      <c r="O74" s="89">
        <f>CHOOSE(MATCH(CaseSel,{"Base","Bull","Bear"},0), O75, O76, O77)</f>
        <v>0.27</v>
      </c>
    </row>
    <row r="75" spans="2:15" x14ac:dyDescent="0.3">
      <c r="B75" s="2" t="s">
        <v>153</v>
      </c>
      <c r="C75" s="25"/>
      <c r="D75" s="25"/>
      <c r="E75" s="25"/>
      <c r="F75" s="25"/>
      <c r="G75" s="25"/>
      <c r="H75" s="25"/>
      <c r="I75" s="56"/>
      <c r="J75" s="52">
        <v>0.32</v>
      </c>
      <c r="K75" s="52">
        <v>0.31</v>
      </c>
      <c r="L75" s="52">
        <v>0.3</v>
      </c>
      <c r="M75" s="52">
        <v>0.28999999999999998</v>
      </c>
      <c r="N75" s="52">
        <v>0.28000000000000003</v>
      </c>
      <c r="O75" s="52">
        <v>0.27</v>
      </c>
    </row>
    <row r="76" spans="2:15" x14ac:dyDescent="0.3">
      <c r="B76" s="2" t="s">
        <v>154</v>
      </c>
      <c r="C76" s="25"/>
      <c r="D76" s="25"/>
      <c r="E76" s="25"/>
      <c r="F76" s="25"/>
      <c r="G76" s="25"/>
      <c r="H76" s="25"/>
      <c r="I76" s="56"/>
      <c r="J76" s="52">
        <v>0.26</v>
      </c>
      <c r="K76" s="52">
        <v>0.24</v>
      </c>
      <c r="L76" s="52">
        <v>0.22</v>
      </c>
      <c r="M76" s="52">
        <v>0.2</v>
      </c>
      <c r="N76" s="52">
        <v>0.19</v>
      </c>
      <c r="O76" s="52">
        <v>0.18</v>
      </c>
    </row>
    <row r="77" spans="2:15" x14ac:dyDescent="0.3">
      <c r="B77" s="2" t="s">
        <v>155</v>
      </c>
      <c r="C77" s="25"/>
      <c r="D77" s="25"/>
      <c r="E77" s="25"/>
      <c r="F77" s="25"/>
      <c r="G77" s="25"/>
      <c r="H77" s="25"/>
      <c r="I77" s="56"/>
      <c r="J77" s="52">
        <v>0.34</v>
      </c>
      <c r="K77" s="52">
        <v>0.33</v>
      </c>
      <c r="L77" s="52">
        <v>0.32</v>
      </c>
      <c r="M77" s="52">
        <v>0.31</v>
      </c>
      <c r="N77" s="52">
        <v>0.3</v>
      </c>
      <c r="O77" s="52">
        <v>0.28999999999999998</v>
      </c>
    </row>
    <row r="78" spans="2:15" x14ac:dyDescent="0.3">
      <c r="B78" s="31"/>
      <c r="C78" s="31"/>
      <c r="D78" s="31"/>
      <c r="E78" s="31"/>
      <c r="F78" s="31"/>
      <c r="G78" s="31"/>
      <c r="H78" s="31"/>
      <c r="I78" s="54"/>
      <c r="J78" s="31"/>
      <c r="K78" s="31"/>
      <c r="L78" s="31"/>
      <c r="M78" s="31"/>
      <c r="N78" s="31"/>
      <c r="O78" s="31"/>
    </row>
    <row r="79" spans="2:15" x14ac:dyDescent="0.3">
      <c r="B79" s="43" t="s">
        <v>145</v>
      </c>
      <c r="C79" s="44">
        <f>'Balance Sheet'!C12</f>
        <v>28.63</v>
      </c>
      <c r="D79" s="44">
        <f>'Balance Sheet'!D12</f>
        <v>48.8</v>
      </c>
      <c r="E79" s="44">
        <f>'Balance Sheet'!E12</f>
        <v>150</v>
      </c>
      <c r="F79" s="44">
        <f>'Balance Sheet'!F12</f>
        <v>155.80000000000001</v>
      </c>
      <c r="G79" s="44">
        <f>'Balance Sheet'!G12</f>
        <v>160.19999999999999</v>
      </c>
      <c r="H79" s="44">
        <f>'Balance Sheet'!H12</f>
        <v>156.5</v>
      </c>
      <c r="I79" s="45">
        <f>'Balance Sheet'!I12</f>
        <v>124.3</v>
      </c>
      <c r="J79" s="46">
        <f t="shared" ref="J79:O79" si="19">J7*J80</f>
        <v>160.72152749999998</v>
      </c>
      <c r="K79" s="46">
        <f t="shared" si="19"/>
        <v>190.62970739999997</v>
      </c>
      <c r="L79" s="46">
        <f t="shared" si="19"/>
        <v>218.35766484000001</v>
      </c>
      <c r="M79" s="46">
        <f t="shared" si="19"/>
        <v>241.23322972799997</v>
      </c>
      <c r="N79" s="46">
        <f t="shared" si="19"/>
        <v>261.25558779542399</v>
      </c>
      <c r="O79" s="46">
        <f t="shared" si="19"/>
        <v>274.73087600803007</v>
      </c>
    </row>
    <row r="80" spans="2:15" x14ac:dyDescent="0.3">
      <c r="B80" s="29" t="s">
        <v>156</v>
      </c>
      <c r="C80" s="50">
        <f t="shared" ref="C80:I80" si="20">C79/C7</f>
        <v>2.8799919525198669E-2</v>
      </c>
      <c r="D80" s="50">
        <f t="shared" si="20"/>
        <v>3.3629660257735512E-2</v>
      </c>
      <c r="E80" s="50">
        <f t="shared" si="20"/>
        <v>5.370377000465433E-2</v>
      </c>
      <c r="F80" s="50">
        <f t="shared" si="20"/>
        <v>5.5305100990380184E-2</v>
      </c>
      <c r="G80" s="50">
        <f t="shared" si="20"/>
        <v>4.8795345862142486E-2</v>
      </c>
      <c r="H80" s="50">
        <f t="shared" si="20"/>
        <v>4.854067801867188E-2</v>
      </c>
      <c r="I80" s="51">
        <f t="shared" si="20"/>
        <v>2.2679584724578976E-2</v>
      </c>
      <c r="J80" s="89">
        <f>CHOOSE(MATCH(CaseSel,{"Base","Bull","Bear"},0), J81, J82, J83)</f>
        <v>2.3E-2</v>
      </c>
      <c r="K80" s="89">
        <f>CHOOSE(MATCH(CaseSel,{"Base","Bull","Bear"},0), K81, K82, K83)</f>
        <v>2.1999999999999999E-2</v>
      </c>
      <c r="L80" s="89">
        <f>CHOOSE(MATCH(CaseSel,{"Base","Bull","Bear"},0), L81, L82, L83)</f>
        <v>2.1000000000000001E-2</v>
      </c>
      <c r="M80" s="89">
        <f>CHOOSE(MATCH(CaseSel,{"Base","Bull","Bear"},0), M81, M82, M83)</f>
        <v>0.02</v>
      </c>
      <c r="N80" s="89">
        <f>CHOOSE(MATCH(CaseSel,{"Base","Bull","Bear"},0), N81, N82, N83)</f>
        <v>1.9E-2</v>
      </c>
      <c r="O80" s="89">
        <f>CHOOSE(MATCH(CaseSel,{"Base","Bull","Bear"},0), O81, O82, O83)</f>
        <v>1.7999999999999999E-2</v>
      </c>
    </row>
    <row r="81" spans="2:15" x14ac:dyDescent="0.3">
      <c r="B81" s="2" t="s">
        <v>153</v>
      </c>
      <c r="C81" s="25"/>
      <c r="D81" s="25"/>
      <c r="E81" s="25"/>
      <c r="F81" s="25"/>
      <c r="G81" s="25"/>
      <c r="H81" s="25"/>
      <c r="I81" s="56"/>
      <c r="J81" s="52">
        <v>2.3E-2</v>
      </c>
      <c r="K81" s="52">
        <v>2.1999999999999999E-2</v>
      </c>
      <c r="L81" s="52">
        <v>2.1000000000000001E-2</v>
      </c>
      <c r="M81" s="52">
        <v>0.02</v>
      </c>
      <c r="N81" s="52">
        <v>1.9E-2</v>
      </c>
      <c r="O81" s="52">
        <v>1.7999999999999999E-2</v>
      </c>
    </row>
    <row r="82" spans="2:15" x14ac:dyDescent="0.3">
      <c r="B82" s="2" t="s">
        <v>154</v>
      </c>
      <c r="C82" s="25"/>
      <c r="D82" s="25"/>
      <c r="E82" s="25"/>
      <c r="F82" s="25"/>
      <c r="G82" s="25"/>
      <c r="H82" s="25"/>
      <c r="I82" s="56"/>
      <c r="J82" s="52">
        <v>1.4999999999999999E-2</v>
      </c>
      <c r="K82" s="52">
        <v>1.2999999999999999E-2</v>
      </c>
      <c r="L82" s="52">
        <v>1.2E-2</v>
      </c>
      <c r="M82" s="52">
        <v>0.01</v>
      </c>
      <c r="N82" s="52">
        <v>8.9999999999999993E-3</v>
      </c>
      <c r="O82" s="52">
        <v>8.0000000000000002E-3</v>
      </c>
    </row>
    <row r="83" spans="2:15" x14ac:dyDescent="0.3">
      <c r="B83" s="2" t="s">
        <v>155</v>
      </c>
      <c r="C83" s="25"/>
      <c r="D83" s="25"/>
      <c r="E83" s="25"/>
      <c r="F83" s="25"/>
      <c r="G83" s="25"/>
      <c r="H83" s="25"/>
      <c r="I83" s="56"/>
      <c r="J83" s="52">
        <v>2.5000000000000001E-2</v>
      </c>
      <c r="K83" s="52">
        <v>2.4E-2</v>
      </c>
      <c r="L83" s="52">
        <v>2.3E-2</v>
      </c>
      <c r="M83" s="52">
        <v>2.1999999999999999E-2</v>
      </c>
      <c r="N83" s="52">
        <v>2.1000000000000001E-2</v>
      </c>
      <c r="O83" s="52">
        <v>0.02</v>
      </c>
    </row>
    <row r="84" spans="2:15" x14ac:dyDescent="0.3">
      <c r="B84" s="31"/>
      <c r="C84" s="31"/>
      <c r="D84" s="31"/>
      <c r="E84" s="31"/>
      <c r="F84" s="31"/>
      <c r="G84" s="31"/>
      <c r="H84" s="31"/>
      <c r="I84" s="54"/>
      <c r="J84" s="31"/>
      <c r="K84" s="31"/>
      <c r="L84" s="31"/>
      <c r="M84" s="31"/>
      <c r="N84" s="31"/>
      <c r="O84" s="31"/>
    </row>
    <row r="85" spans="2:15" x14ac:dyDescent="0.3">
      <c r="B85" s="43" t="s">
        <v>146</v>
      </c>
      <c r="C85" s="44">
        <f>'Balance Sheet'!C29</f>
        <v>70.52</v>
      </c>
      <c r="D85" s="44">
        <f>'Balance Sheet'!D29</f>
        <v>147.30000000000001</v>
      </c>
      <c r="E85" s="44">
        <f>'Balance Sheet'!E29</f>
        <v>258.2</v>
      </c>
      <c r="F85" s="44">
        <f>'Balance Sheet'!F29</f>
        <v>273.2</v>
      </c>
      <c r="G85" s="44">
        <f>'Balance Sheet'!G29</f>
        <v>371.7</v>
      </c>
      <c r="H85" s="44">
        <f>'Balance Sheet'!H29</f>
        <v>563.4</v>
      </c>
      <c r="I85" s="45">
        <f>'Balance Sheet'!I29</f>
        <v>747</v>
      </c>
      <c r="J85" s="46">
        <f t="shared" ref="J85:O85" si="21">J7*J86</f>
        <v>978.30494999999996</v>
      </c>
      <c r="K85" s="46">
        <f t="shared" si="21"/>
        <v>1213.0981380000001</v>
      </c>
      <c r="L85" s="46">
        <f t="shared" si="21"/>
        <v>1455.7177656000001</v>
      </c>
      <c r="M85" s="46">
        <f t="shared" si="21"/>
        <v>1688.632608096</v>
      </c>
      <c r="N85" s="46">
        <f t="shared" si="21"/>
        <v>1925.0411732294401</v>
      </c>
      <c r="O85" s="46">
        <f t="shared" si="21"/>
        <v>2136.7957022846786</v>
      </c>
    </row>
    <row r="86" spans="2:15" x14ac:dyDescent="0.3">
      <c r="B86" s="29" t="s">
        <v>156</v>
      </c>
      <c r="C86" s="50">
        <f t="shared" ref="C86:I86" si="22">C85/C7</f>
        <v>7.093853737048586E-2</v>
      </c>
      <c r="D86" s="50">
        <f t="shared" si="22"/>
        <v>0.10150919991730413</v>
      </c>
      <c r="E86" s="50">
        <f t="shared" si="22"/>
        <v>9.2442089434678312E-2</v>
      </c>
      <c r="F86" s="50">
        <f t="shared" si="22"/>
        <v>9.6979162969010685E-2</v>
      </c>
      <c r="G86" s="50">
        <f t="shared" si="22"/>
        <v>0.11321616764643172</v>
      </c>
      <c r="H86" s="50">
        <f t="shared" si="22"/>
        <v>0.17474644086721874</v>
      </c>
      <c r="I86" s="51">
        <f t="shared" si="22"/>
        <v>0.13629645848158081</v>
      </c>
      <c r="J86" s="89">
        <f>CHOOSE(MATCH(CaseSel,{"Base","Bull","Bear"},0), J87, J88, J89)</f>
        <v>0.14000000000000001</v>
      </c>
      <c r="K86" s="89">
        <f>CHOOSE(MATCH(CaseSel,{"Base","Bull","Bear"},0), K87, K88, K89)</f>
        <v>0.14000000000000001</v>
      </c>
      <c r="L86" s="89">
        <f>CHOOSE(MATCH(CaseSel,{"Base","Bull","Bear"},0), L87, L88, L89)</f>
        <v>0.14000000000000001</v>
      </c>
      <c r="M86" s="89">
        <f>CHOOSE(MATCH(CaseSel,{"Base","Bull","Bear"},0), M87, M88, M89)</f>
        <v>0.14000000000000001</v>
      </c>
      <c r="N86" s="89">
        <f>CHOOSE(MATCH(CaseSel,{"Base","Bull","Bear"},0), N87, N88, N89)</f>
        <v>0.14000000000000001</v>
      </c>
      <c r="O86" s="89">
        <f>CHOOSE(MATCH(CaseSel,{"Base","Bull","Bear"},0), O87, O88, O89)</f>
        <v>0.14000000000000001</v>
      </c>
    </row>
    <row r="87" spans="2:15" x14ac:dyDescent="0.3">
      <c r="B87" s="2" t="s">
        <v>153</v>
      </c>
      <c r="C87" s="25"/>
      <c r="D87" s="25"/>
      <c r="E87" s="25"/>
      <c r="F87" s="25"/>
      <c r="G87" s="25"/>
      <c r="H87" s="25"/>
      <c r="I87" s="56"/>
      <c r="J87" s="52">
        <v>0.14000000000000001</v>
      </c>
      <c r="K87" s="52">
        <v>0.14000000000000001</v>
      </c>
      <c r="L87" s="52">
        <v>0.14000000000000001</v>
      </c>
      <c r="M87" s="52">
        <v>0.14000000000000001</v>
      </c>
      <c r="N87" s="52">
        <v>0.14000000000000001</v>
      </c>
      <c r="O87" s="52">
        <v>0.14000000000000001</v>
      </c>
    </row>
    <row r="88" spans="2:15" x14ac:dyDescent="0.3">
      <c r="B88" s="2" t="s">
        <v>154</v>
      </c>
      <c r="C88" s="25"/>
      <c r="D88" s="25"/>
      <c r="E88" s="25"/>
      <c r="F88" s="25"/>
      <c r="G88" s="25"/>
      <c r="H88" s="25"/>
      <c r="I88" s="56"/>
      <c r="J88" s="52">
        <v>0.16</v>
      </c>
      <c r="K88" s="52">
        <v>0.16</v>
      </c>
      <c r="L88" s="52">
        <v>0.17</v>
      </c>
      <c r="M88" s="52">
        <v>0.17</v>
      </c>
      <c r="N88" s="52">
        <v>0.17</v>
      </c>
      <c r="O88" s="52">
        <v>0.18</v>
      </c>
    </row>
    <row r="89" spans="2:15" x14ac:dyDescent="0.3">
      <c r="B89" s="2" t="s">
        <v>155</v>
      </c>
      <c r="C89" s="25"/>
      <c r="D89" s="25"/>
      <c r="E89" s="25"/>
      <c r="F89" s="25"/>
      <c r="G89" s="25"/>
      <c r="H89" s="25"/>
      <c r="I89" s="56"/>
      <c r="J89" s="52">
        <v>0.13</v>
      </c>
      <c r="K89" s="52">
        <v>0.13</v>
      </c>
      <c r="L89" s="52">
        <v>0.13</v>
      </c>
      <c r="M89" s="52">
        <v>0.13</v>
      </c>
      <c r="N89" s="52">
        <v>0.13</v>
      </c>
      <c r="O89" s="52">
        <v>0.13</v>
      </c>
    </row>
    <row r="90" spans="2:15" x14ac:dyDescent="0.3">
      <c r="B90" s="31"/>
      <c r="C90" s="31"/>
      <c r="D90" s="31"/>
      <c r="E90" s="31"/>
      <c r="F90" s="31"/>
      <c r="G90" s="31"/>
      <c r="H90" s="31"/>
      <c r="I90" s="54"/>
      <c r="J90" s="31"/>
      <c r="K90" s="31"/>
      <c r="L90" s="31"/>
      <c r="M90" s="31"/>
      <c r="N90" s="31"/>
      <c r="O90" s="31"/>
    </row>
    <row r="91" spans="2:15" x14ac:dyDescent="0.3">
      <c r="B91" s="43" t="s">
        <v>147</v>
      </c>
      <c r="C91" s="44">
        <f>'Balance Sheet'!C30</f>
        <v>37.299999999999997</v>
      </c>
      <c r="D91" s="44">
        <f>'Balance Sheet'!D30</f>
        <v>95.06</v>
      </c>
      <c r="E91" s="44">
        <f>'Balance Sheet'!E30</f>
        <v>133.80000000000001</v>
      </c>
      <c r="F91" s="44">
        <f>'Balance Sheet'!F30</f>
        <v>147.80000000000001</v>
      </c>
      <c r="G91" s="44">
        <f>'Balance Sheet'!G30</f>
        <v>252.2</v>
      </c>
      <c r="H91" s="44">
        <f>'Balance Sheet'!H30</f>
        <v>409.4</v>
      </c>
      <c r="I91" s="45">
        <f>'Balance Sheet'!I30</f>
        <v>572.9</v>
      </c>
      <c r="J91" s="46">
        <f t="shared" ref="J91:O91" si="23">J7*J92</f>
        <v>698.78924999999992</v>
      </c>
      <c r="K91" s="46">
        <f t="shared" si="23"/>
        <v>866.49866999999995</v>
      </c>
      <c r="L91" s="46">
        <f t="shared" si="23"/>
        <v>1039.7984039999999</v>
      </c>
      <c r="M91" s="46">
        <f t="shared" si="23"/>
        <v>1206.1661486399998</v>
      </c>
      <c r="N91" s="46">
        <f t="shared" si="23"/>
        <v>1375.0294094496001</v>
      </c>
      <c r="O91" s="46">
        <f t="shared" si="23"/>
        <v>1526.2826444890561</v>
      </c>
    </row>
    <row r="92" spans="2:15" x14ac:dyDescent="0.3">
      <c r="B92" s="29" t="s">
        <v>156</v>
      </c>
      <c r="C92" s="50">
        <f t="shared" ref="C92:I92" si="24">C91/C7</f>
        <v>3.7521376119102702E-2</v>
      </c>
      <c r="D92" s="50">
        <f t="shared" si="24"/>
        <v>6.550892426435119E-2</v>
      </c>
      <c r="E92" s="50">
        <f t="shared" si="24"/>
        <v>4.7903762844151668E-2</v>
      </c>
      <c r="F92" s="50">
        <f t="shared" si="24"/>
        <v>5.2465301196265669E-2</v>
      </c>
      <c r="G92" s="50">
        <f t="shared" si="24"/>
        <v>7.6817641862873501E-2</v>
      </c>
      <c r="H92" s="50">
        <f t="shared" si="24"/>
        <v>0.12698117304053844</v>
      </c>
      <c r="I92" s="51">
        <f t="shared" si="24"/>
        <v>0.10453044319156313</v>
      </c>
      <c r="J92" s="89">
        <f>CHOOSE(MATCH(CaseSel,{"Base","Bull","Bear"},0), J93, J94, J95)</f>
        <v>0.1</v>
      </c>
      <c r="K92" s="89">
        <f>CHOOSE(MATCH(CaseSel,{"Base","Bull","Bear"},0), K93, K94, K95)</f>
        <v>0.1</v>
      </c>
      <c r="L92" s="89">
        <f>CHOOSE(MATCH(CaseSel,{"Base","Bull","Bear"},0), L93, L94, L95)</f>
        <v>0.1</v>
      </c>
      <c r="M92" s="89">
        <f>CHOOSE(MATCH(CaseSel,{"Base","Bull","Bear"},0), M93, M94, M95)</f>
        <v>0.1</v>
      </c>
      <c r="N92" s="89">
        <f>CHOOSE(MATCH(CaseSel,{"Base","Bull","Bear"},0), N93, N94, N95)</f>
        <v>0.1</v>
      </c>
      <c r="O92" s="89">
        <f>CHOOSE(MATCH(CaseSel,{"Base","Bull","Bear"},0), O93, O94, O95)</f>
        <v>0.1</v>
      </c>
    </row>
    <row r="93" spans="2:15" x14ac:dyDescent="0.3">
      <c r="B93" s="2" t="s">
        <v>153</v>
      </c>
      <c r="C93" s="25"/>
      <c r="D93" s="25"/>
      <c r="E93" s="25"/>
      <c r="F93" s="25"/>
      <c r="G93" s="25"/>
      <c r="H93" s="25"/>
      <c r="I93" s="56"/>
      <c r="J93" s="52">
        <v>0.1</v>
      </c>
      <c r="K93" s="52">
        <v>0.1</v>
      </c>
      <c r="L93" s="52">
        <v>0.1</v>
      </c>
      <c r="M93" s="52">
        <v>0.1</v>
      </c>
      <c r="N93" s="52">
        <v>0.1</v>
      </c>
      <c r="O93" s="52">
        <v>0.1</v>
      </c>
    </row>
    <row r="94" spans="2:15" x14ac:dyDescent="0.3">
      <c r="B94" s="2" t="s">
        <v>154</v>
      </c>
      <c r="C94" s="25"/>
      <c r="D94" s="25"/>
      <c r="E94" s="25"/>
      <c r="F94" s="25"/>
      <c r="G94" s="25"/>
      <c r="H94" s="25"/>
      <c r="I94" s="56"/>
      <c r="J94" s="52">
        <v>0.12</v>
      </c>
      <c r="K94" s="52">
        <v>0.12</v>
      </c>
      <c r="L94" s="52">
        <v>0.13</v>
      </c>
      <c r="M94" s="52">
        <v>0.13</v>
      </c>
      <c r="N94" s="52">
        <v>0.14000000000000001</v>
      </c>
      <c r="O94" s="52">
        <v>0.14000000000000001</v>
      </c>
    </row>
    <row r="95" spans="2:15" x14ac:dyDescent="0.3">
      <c r="B95" s="2" t="s">
        <v>155</v>
      </c>
      <c r="C95" s="25"/>
      <c r="D95" s="25"/>
      <c r="E95" s="25"/>
      <c r="F95" s="25"/>
      <c r="G95" s="25"/>
      <c r="H95" s="25"/>
      <c r="I95" s="56"/>
      <c r="J95" s="52">
        <v>0.1</v>
      </c>
      <c r="K95" s="52">
        <v>0.1</v>
      </c>
      <c r="L95" s="52">
        <v>0.1</v>
      </c>
      <c r="M95" s="52">
        <v>0.1</v>
      </c>
      <c r="N95" s="52">
        <v>0.1</v>
      </c>
      <c r="O95" s="52">
        <v>0.1</v>
      </c>
    </row>
    <row r="97" spans="2:15" ht="16.2" thickBot="1" x14ac:dyDescent="0.35">
      <c r="B97" s="162" t="s">
        <v>219</v>
      </c>
      <c r="C97" s="164"/>
      <c r="D97" s="164"/>
      <c r="E97" s="164"/>
      <c r="F97" s="164"/>
      <c r="G97" s="164"/>
      <c r="H97" s="164"/>
      <c r="K97" s="164"/>
      <c r="L97" s="164"/>
      <c r="M97" s="164"/>
      <c r="N97" s="164"/>
      <c r="O97" s="164"/>
    </row>
    <row r="98" spans="2:15" ht="16.2" thickTop="1" x14ac:dyDescent="0.3">
      <c r="B98" s="117" t="s">
        <v>220</v>
      </c>
      <c r="I98" s="165"/>
      <c r="J98" s="166">
        <f>CHOOSE(MATCH(CaseSel,{"Base","Bull","Bear"},0), J99, J100, J101)</f>
        <v>21</v>
      </c>
    </row>
    <row r="99" spans="2:15" x14ac:dyDescent="0.3">
      <c r="B99" s="121" t="s">
        <v>153</v>
      </c>
      <c r="J99" s="167">
        <v>21</v>
      </c>
    </row>
    <row r="100" spans="2:15" x14ac:dyDescent="0.3">
      <c r="B100" s="121" t="s">
        <v>154</v>
      </c>
      <c r="J100" s="167">
        <v>23</v>
      </c>
    </row>
    <row r="101" spans="2:15" x14ac:dyDescent="0.3">
      <c r="B101" s="121" t="s">
        <v>155</v>
      </c>
      <c r="J101" s="167">
        <v>19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E34FA-A207-4654-A93C-8C2E0A3FBAC7}">
  <dimension ref="B2:O20"/>
  <sheetViews>
    <sheetView showGridLines="0" zoomScale="85" zoomScaleNormal="100" workbookViewId="0"/>
  </sheetViews>
  <sheetFormatPr defaultRowHeight="15.6" x14ac:dyDescent="0.3"/>
  <cols>
    <col min="1" max="1" width="3.33203125" customWidth="1"/>
    <col min="2" max="2" width="37" customWidth="1"/>
    <col min="3" max="15" width="12.5546875" customWidth="1"/>
  </cols>
  <sheetData>
    <row r="2" spans="2:15" ht="17.399999999999999" x14ac:dyDescent="0.35">
      <c r="B2" s="23" t="s">
        <v>121</v>
      </c>
    </row>
    <row r="3" spans="2:15" x14ac:dyDescent="0.3">
      <c r="B3" s="24" t="s">
        <v>122</v>
      </c>
    </row>
    <row r="4" spans="2:15" x14ac:dyDescent="0.3">
      <c r="C4" s="74" t="s">
        <v>117</v>
      </c>
      <c r="D4" s="75"/>
      <c r="E4" s="75"/>
      <c r="F4" s="75"/>
      <c r="G4" s="75"/>
      <c r="H4" s="75"/>
      <c r="I4" s="75"/>
      <c r="J4" s="74" t="s">
        <v>129</v>
      </c>
      <c r="K4" s="75"/>
      <c r="L4" s="75"/>
      <c r="M4" s="75"/>
      <c r="N4" s="75"/>
      <c r="O4" s="74"/>
    </row>
    <row r="5" spans="2:15" x14ac:dyDescent="0.3">
      <c r="B5" s="200" t="s">
        <v>123</v>
      </c>
      <c r="C5" s="206">
        <v>2019</v>
      </c>
      <c r="D5" s="206">
        <v>2020</v>
      </c>
      <c r="E5" s="206">
        <v>2021</v>
      </c>
      <c r="F5" s="206">
        <v>2022</v>
      </c>
      <c r="G5" s="206">
        <v>2023</v>
      </c>
      <c r="H5" s="206">
        <v>2024</v>
      </c>
      <c r="I5" s="207">
        <v>2025</v>
      </c>
      <c r="J5" s="203" t="s">
        <v>124</v>
      </c>
      <c r="K5" s="203" t="s">
        <v>125</v>
      </c>
      <c r="L5" s="203" t="s">
        <v>126</v>
      </c>
      <c r="M5" s="203" t="s">
        <v>127</v>
      </c>
      <c r="N5" s="203" t="s">
        <v>128</v>
      </c>
      <c r="O5" s="203" t="s">
        <v>134</v>
      </c>
    </row>
    <row r="6" spans="2:15" x14ac:dyDescent="0.3">
      <c r="I6" s="32"/>
    </row>
    <row r="7" spans="2:15" x14ac:dyDescent="0.3">
      <c r="B7" s="26" t="s">
        <v>121</v>
      </c>
      <c r="I7" s="32"/>
    </row>
    <row r="8" spans="2:15" x14ac:dyDescent="0.3">
      <c r="I8" s="32"/>
    </row>
    <row r="9" spans="2:15" x14ac:dyDescent="0.3">
      <c r="B9" s="27" t="s">
        <v>37</v>
      </c>
      <c r="C9" s="28">
        <f>'Balance Sheet'!C11</f>
        <v>161.4</v>
      </c>
      <c r="D9" s="28">
        <f>'Balance Sheet'!D11</f>
        <v>297</v>
      </c>
      <c r="E9" s="28">
        <f>'Balance Sheet'!E11</f>
        <v>514.5</v>
      </c>
      <c r="F9" s="28">
        <f>'Balance Sheet'!F11</f>
        <v>702.8</v>
      </c>
      <c r="G9" s="28">
        <f>'Balance Sheet'!G11</f>
        <v>953.8</v>
      </c>
      <c r="H9" s="28">
        <f>'Balance Sheet'!H11</f>
        <v>1414.3</v>
      </c>
      <c r="I9" s="67">
        <f>'Balance Sheet'!I11</f>
        <v>1819.4</v>
      </c>
      <c r="J9" s="66">
        <f>'Metrics &amp; Drivers'!J73</f>
        <v>2236.1255999999998</v>
      </c>
      <c r="K9" s="66">
        <f>'Metrics &amp; Drivers'!K73</f>
        <v>2686.1458769999999</v>
      </c>
      <c r="L9" s="66">
        <f>'Metrics &amp; Drivers'!L73</f>
        <v>3119.3952119999999</v>
      </c>
      <c r="M9" s="66">
        <f>'Metrics &amp; Drivers'!M73</f>
        <v>3497.8818310559991</v>
      </c>
      <c r="N9" s="66">
        <f>'Metrics &amp; Drivers'!N73</f>
        <v>3850.0823464588802</v>
      </c>
      <c r="O9" s="66">
        <f>'Metrics &amp; Drivers'!O73</f>
        <v>4120.9631401204515</v>
      </c>
    </row>
    <row r="10" spans="2:15" x14ac:dyDescent="0.3">
      <c r="B10" s="27" t="s">
        <v>38</v>
      </c>
      <c r="C10" s="28">
        <f>'Balance Sheet'!C12</f>
        <v>28.63</v>
      </c>
      <c r="D10" s="28">
        <f>'Balance Sheet'!D12</f>
        <v>48.8</v>
      </c>
      <c r="E10" s="28">
        <f>'Balance Sheet'!E12</f>
        <v>150</v>
      </c>
      <c r="F10" s="28">
        <f>'Balance Sheet'!F12</f>
        <v>155.80000000000001</v>
      </c>
      <c r="G10" s="28">
        <f>'Balance Sheet'!G12</f>
        <v>160.19999999999999</v>
      </c>
      <c r="H10" s="28">
        <f>'Balance Sheet'!H12</f>
        <v>156.5</v>
      </c>
      <c r="I10" s="67">
        <f>'Balance Sheet'!I12</f>
        <v>124.3</v>
      </c>
      <c r="J10" s="66">
        <f>'Metrics &amp; Drivers'!J79</f>
        <v>160.72152749999998</v>
      </c>
      <c r="K10" s="66">
        <f>'Metrics &amp; Drivers'!K79</f>
        <v>190.62970739999997</v>
      </c>
      <c r="L10" s="66">
        <f>'Metrics &amp; Drivers'!L79</f>
        <v>218.35766484000001</v>
      </c>
      <c r="M10" s="66">
        <f>'Metrics &amp; Drivers'!M79</f>
        <v>241.23322972799997</v>
      </c>
      <c r="N10" s="66">
        <f>'Metrics &amp; Drivers'!N79</f>
        <v>261.25558779542399</v>
      </c>
      <c r="O10" s="66">
        <f>'Metrics &amp; Drivers'!O79</f>
        <v>274.73087600803007</v>
      </c>
    </row>
    <row r="11" spans="2:15" x14ac:dyDescent="0.3">
      <c r="B11" s="35" t="s">
        <v>130</v>
      </c>
      <c r="C11" s="36">
        <f t="shared" ref="C11:O11" si="0">SUM(C9:C10)</f>
        <v>190.03</v>
      </c>
      <c r="D11" s="36">
        <f t="shared" si="0"/>
        <v>345.8</v>
      </c>
      <c r="E11" s="36">
        <f t="shared" si="0"/>
        <v>664.5</v>
      </c>
      <c r="F11" s="36">
        <f t="shared" si="0"/>
        <v>858.59999999999991</v>
      </c>
      <c r="G11" s="36">
        <f t="shared" si="0"/>
        <v>1114</v>
      </c>
      <c r="H11" s="36">
        <f t="shared" si="0"/>
        <v>1570.8</v>
      </c>
      <c r="I11" s="69">
        <f t="shared" si="0"/>
        <v>1943.7</v>
      </c>
      <c r="J11" s="36">
        <f t="shared" si="0"/>
        <v>2396.8471274999997</v>
      </c>
      <c r="K11" s="36">
        <f t="shared" si="0"/>
        <v>2876.7755843999998</v>
      </c>
      <c r="L11" s="36">
        <f t="shared" si="0"/>
        <v>3337.7528768399998</v>
      </c>
      <c r="M11" s="36">
        <f t="shared" si="0"/>
        <v>3739.1150607839991</v>
      </c>
      <c r="N11" s="36">
        <f t="shared" si="0"/>
        <v>4111.3379342543039</v>
      </c>
      <c r="O11" s="36">
        <f t="shared" si="0"/>
        <v>4395.694016128482</v>
      </c>
    </row>
    <row r="12" spans="2:15" x14ac:dyDescent="0.3">
      <c r="I12" s="32"/>
    </row>
    <row r="13" spans="2:15" x14ac:dyDescent="0.3">
      <c r="B13" s="27" t="s">
        <v>51</v>
      </c>
      <c r="C13" s="28">
        <f>'Balance Sheet'!C29</f>
        <v>70.52</v>
      </c>
      <c r="D13" s="28">
        <f>'Balance Sheet'!D29</f>
        <v>147.30000000000001</v>
      </c>
      <c r="E13" s="28">
        <f>'Balance Sheet'!E29</f>
        <v>258.2</v>
      </c>
      <c r="F13" s="28">
        <f>'Balance Sheet'!F29</f>
        <v>273.2</v>
      </c>
      <c r="G13" s="28">
        <f>'Balance Sheet'!G29</f>
        <v>371.7</v>
      </c>
      <c r="H13" s="28">
        <f>'Balance Sheet'!H29</f>
        <v>563.4</v>
      </c>
      <c r="I13" s="67">
        <f>'Balance Sheet'!I29</f>
        <v>747</v>
      </c>
      <c r="J13" s="66">
        <f>'Metrics &amp; Drivers'!J85</f>
        <v>978.30494999999996</v>
      </c>
      <c r="K13" s="66">
        <f>'Metrics &amp; Drivers'!K85</f>
        <v>1213.0981380000001</v>
      </c>
      <c r="L13" s="66">
        <f>'Metrics &amp; Drivers'!L85</f>
        <v>1455.7177656000001</v>
      </c>
      <c r="M13" s="66">
        <f>'Metrics &amp; Drivers'!M85</f>
        <v>1688.632608096</v>
      </c>
      <c r="N13" s="66">
        <f>'Metrics &amp; Drivers'!N85</f>
        <v>1925.0411732294401</v>
      </c>
      <c r="O13" s="66">
        <f>'Metrics &amp; Drivers'!O85</f>
        <v>2136.7957022846786</v>
      </c>
    </row>
    <row r="14" spans="2:15" x14ac:dyDescent="0.3">
      <c r="B14" s="27" t="s">
        <v>52</v>
      </c>
      <c r="C14" s="28">
        <f>'Balance Sheet'!C30</f>
        <v>37.299999999999997</v>
      </c>
      <c r="D14" s="28">
        <f>'Balance Sheet'!D30</f>
        <v>95.06</v>
      </c>
      <c r="E14" s="28">
        <f>'Balance Sheet'!E30</f>
        <v>133.80000000000001</v>
      </c>
      <c r="F14" s="28">
        <f>'Balance Sheet'!F30</f>
        <v>147.80000000000001</v>
      </c>
      <c r="G14" s="28">
        <f>'Balance Sheet'!G30</f>
        <v>252.2</v>
      </c>
      <c r="H14" s="28">
        <f>'Balance Sheet'!H30</f>
        <v>409.4</v>
      </c>
      <c r="I14" s="67">
        <f>'Balance Sheet'!I30</f>
        <v>572.9</v>
      </c>
      <c r="J14" s="66">
        <f>'Metrics &amp; Drivers'!J91</f>
        <v>698.78924999999992</v>
      </c>
      <c r="K14" s="66">
        <f>'Metrics &amp; Drivers'!K91</f>
        <v>866.49866999999995</v>
      </c>
      <c r="L14" s="66">
        <f>'Metrics &amp; Drivers'!L91</f>
        <v>1039.7984039999999</v>
      </c>
      <c r="M14" s="66">
        <f>'Metrics &amp; Drivers'!M91</f>
        <v>1206.1661486399998</v>
      </c>
      <c r="N14" s="66">
        <f>'Metrics &amp; Drivers'!N91</f>
        <v>1375.0294094496001</v>
      </c>
      <c r="O14" s="66">
        <f>'Metrics &amp; Drivers'!O91</f>
        <v>1526.2826444890561</v>
      </c>
    </row>
    <row r="15" spans="2:15" x14ac:dyDescent="0.3">
      <c r="B15" s="27" t="s">
        <v>53</v>
      </c>
      <c r="C15" s="28">
        <f>'Balance Sheet'!C31</f>
        <v>8.1999999999999993</v>
      </c>
      <c r="D15" s="28">
        <f>'Balance Sheet'!D31</f>
        <v>86.89</v>
      </c>
      <c r="E15" s="28">
        <f>'Balance Sheet'!E31</f>
        <v>78.930000000000007</v>
      </c>
      <c r="F15" s="28">
        <f>'Balance Sheet'!F31</f>
        <v>64.02</v>
      </c>
      <c r="G15" s="28">
        <f>'Balance Sheet'!G31</f>
        <v>78.56</v>
      </c>
      <c r="H15" s="28">
        <f>'Balance Sheet'!H31</f>
        <v>69.84</v>
      </c>
      <c r="I15" s="67">
        <f>'Balance Sheet'!I31</f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</row>
    <row r="16" spans="2:15" x14ac:dyDescent="0.3">
      <c r="B16" s="27" t="s">
        <v>119</v>
      </c>
      <c r="C16" s="28">
        <f>'Balance Sheet'!C35</f>
        <v>0.06</v>
      </c>
      <c r="D16" s="28">
        <f>'Balance Sheet'!D35</f>
        <v>18.73</v>
      </c>
      <c r="E16" s="28">
        <f>'Balance Sheet'!E35</f>
        <v>17.37</v>
      </c>
      <c r="F16" s="28">
        <f>'Balance Sheet'!F35</f>
        <v>15.29</v>
      </c>
      <c r="G16" s="28">
        <f>'Balance Sheet'!G35</f>
        <v>13.03</v>
      </c>
      <c r="H16" s="28">
        <f>'Balance Sheet'!H35</f>
        <v>0.05</v>
      </c>
      <c r="I16" s="67">
        <f>'Balance Sheet'!I35</f>
        <v>-0.04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</row>
    <row r="17" spans="2:15" x14ac:dyDescent="0.3">
      <c r="B17" s="35" t="s">
        <v>131</v>
      </c>
      <c r="C17" s="36">
        <f t="shared" ref="C17:O17" si="1">SUM(C13:C16)</f>
        <v>116.08</v>
      </c>
      <c r="D17" s="36">
        <f t="shared" si="1"/>
        <v>347.98</v>
      </c>
      <c r="E17" s="36">
        <f t="shared" si="1"/>
        <v>488.3</v>
      </c>
      <c r="F17" s="36">
        <f t="shared" si="1"/>
        <v>500.31</v>
      </c>
      <c r="G17" s="36">
        <f t="shared" si="1"/>
        <v>715.49</v>
      </c>
      <c r="H17" s="36">
        <f t="shared" si="1"/>
        <v>1042.6899999999998</v>
      </c>
      <c r="I17" s="69">
        <f t="shared" si="1"/>
        <v>1319.8600000000001</v>
      </c>
      <c r="J17" s="36">
        <f t="shared" si="1"/>
        <v>1677.0942</v>
      </c>
      <c r="K17" s="36">
        <f t="shared" si="1"/>
        <v>2079.5968080000002</v>
      </c>
      <c r="L17" s="36">
        <f t="shared" si="1"/>
        <v>2495.5161696</v>
      </c>
      <c r="M17" s="36">
        <f t="shared" si="1"/>
        <v>2894.7987567359996</v>
      </c>
      <c r="N17" s="36">
        <f t="shared" si="1"/>
        <v>3300.0705826790399</v>
      </c>
      <c r="O17" s="36">
        <f t="shared" si="1"/>
        <v>3663.0783467737347</v>
      </c>
    </row>
    <row r="18" spans="2:15" x14ac:dyDescent="0.3">
      <c r="I18" s="32"/>
    </row>
    <row r="19" spans="2:15" ht="16.2" thickBot="1" x14ac:dyDescent="0.35">
      <c r="B19" s="33" t="s">
        <v>121</v>
      </c>
      <c r="C19" s="34">
        <f t="shared" ref="C19:O19" si="2">C11-C17</f>
        <v>73.95</v>
      </c>
      <c r="D19" s="34">
        <f t="shared" si="2"/>
        <v>-2.1800000000000068</v>
      </c>
      <c r="E19" s="34">
        <f t="shared" si="2"/>
        <v>176.2</v>
      </c>
      <c r="F19" s="34">
        <f t="shared" si="2"/>
        <v>358.28999999999991</v>
      </c>
      <c r="G19" s="34">
        <f t="shared" si="2"/>
        <v>398.51</v>
      </c>
      <c r="H19" s="34">
        <f t="shared" si="2"/>
        <v>528.11000000000013</v>
      </c>
      <c r="I19" s="68">
        <f t="shared" si="2"/>
        <v>623.83999999999992</v>
      </c>
      <c r="J19" s="34">
        <f t="shared" si="2"/>
        <v>719.75292749999971</v>
      </c>
      <c r="K19" s="34">
        <f t="shared" si="2"/>
        <v>797.17877639999961</v>
      </c>
      <c r="L19" s="34">
        <f t="shared" si="2"/>
        <v>842.23670723999976</v>
      </c>
      <c r="M19" s="34">
        <f t="shared" si="2"/>
        <v>844.31630404799944</v>
      </c>
      <c r="N19" s="34">
        <f t="shared" si="2"/>
        <v>811.267351575264</v>
      </c>
      <c r="O19" s="34">
        <f t="shared" si="2"/>
        <v>732.6156693547473</v>
      </c>
    </row>
    <row r="20" spans="2:15" ht="16.2" thickBot="1" x14ac:dyDescent="0.35">
      <c r="B20" s="70" t="s">
        <v>132</v>
      </c>
      <c r="C20" s="73"/>
      <c r="D20" s="71">
        <f t="shared" ref="D20:O20" si="3">D19-C19</f>
        <v>-76.13000000000001</v>
      </c>
      <c r="E20" s="71">
        <f t="shared" si="3"/>
        <v>178.38</v>
      </c>
      <c r="F20" s="71">
        <f t="shared" si="3"/>
        <v>182.08999999999992</v>
      </c>
      <c r="G20" s="71">
        <f t="shared" si="3"/>
        <v>40.220000000000084</v>
      </c>
      <c r="H20" s="71">
        <f t="shared" si="3"/>
        <v>129.60000000000014</v>
      </c>
      <c r="I20" s="72">
        <f t="shared" si="3"/>
        <v>95.729999999999791</v>
      </c>
      <c r="J20" s="71">
        <f t="shared" si="3"/>
        <v>95.912927499999796</v>
      </c>
      <c r="K20" s="71">
        <f t="shared" si="3"/>
        <v>77.425848899999892</v>
      </c>
      <c r="L20" s="71">
        <f t="shared" si="3"/>
        <v>45.057930840000154</v>
      </c>
      <c r="M20" s="71">
        <f t="shared" si="3"/>
        <v>2.0795968079996783</v>
      </c>
      <c r="N20" s="71">
        <f t="shared" si="3"/>
        <v>-33.048952472735436</v>
      </c>
      <c r="O20" s="71">
        <f t="shared" si="3"/>
        <v>-78.651682220516705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5951D-285C-41B2-BAA2-12E2DB1819CA}">
  <dimension ref="A2:M48"/>
  <sheetViews>
    <sheetView showGridLines="0" zoomScale="108" workbookViewId="0"/>
  </sheetViews>
  <sheetFormatPr defaultRowHeight="15.6" x14ac:dyDescent="0.3"/>
  <cols>
    <col min="1" max="1" width="2.77734375" customWidth="1"/>
    <col min="2" max="2" width="40.77734375" customWidth="1"/>
    <col min="3" max="9" width="12.5546875" customWidth="1"/>
    <col min="10" max="10" width="11.21875" customWidth="1"/>
    <col min="11" max="11" width="37" customWidth="1"/>
    <col min="12" max="12" width="1.88671875" customWidth="1"/>
    <col min="13" max="13" width="14.77734375" customWidth="1"/>
  </cols>
  <sheetData>
    <row r="2" spans="2:13" ht="17.399999999999999" x14ac:dyDescent="0.35">
      <c r="B2" s="90" t="s">
        <v>189</v>
      </c>
    </row>
    <row r="3" spans="2:13" x14ac:dyDescent="0.3">
      <c r="B3" s="116" t="s">
        <v>122</v>
      </c>
    </row>
    <row r="4" spans="2:13" x14ac:dyDescent="0.3">
      <c r="B4" s="38"/>
      <c r="E4" s="38"/>
      <c r="F4" s="38"/>
      <c r="G4" s="38"/>
      <c r="H4" s="38"/>
      <c r="I4" s="38"/>
    </row>
    <row r="5" spans="2:13" x14ac:dyDescent="0.3">
      <c r="B5" s="200" t="s">
        <v>123</v>
      </c>
      <c r="C5" s="201" t="s">
        <v>218</v>
      </c>
      <c r="D5" s="202" t="s">
        <v>124</v>
      </c>
      <c r="E5" s="203" t="s">
        <v>125</v>
      </c>
      <c r="F5" s="203" t="s">
        <v>126</v>
      </c>
      <c r="G5" s="203" t="s">
        <v>127</v>
      </c>
      <c r="H5" s="203" t="s">
        <v>128</v>
      </c>
      <c r="I5" s="203" t="s">
        <v>134</v>
      </c>
      <c r="K5" s="222" t="s">
        <v>205</v>
      </c>
      <c r="L5" s="223"/>
      <c r="M5" s="224"/>
    </row>
    <row r="6" spans="2:13" x14ac:dyDescent="0.3">
      <c r="D6" s="138"/>
      <c r="K6" s="91" t="s">
        <v>206</v>
      </c>
      <c r="M6" s="137">
        <f>I18+I26</f>
        <v>12988.665304601869</v>
      </c>
    </row>
    <row r="7" spans="2:13" x14ac:dyDescent="0.3">
      <c r="B7" s="117" t="s">
        <v>190</v>
      </c>
      <c r="C7" s="153">
        <f>'Metrics &amp; Drivers'!I7</f>
        <v>5480.7</v>
      </c>
      <c r="D7" s="139">
        <f>'Metrics &amp; Drivers'!J7</f>
        <v>6987.892499999999</v>
      </c>
      <c r="E7" s="118">
        <f>'Metrics &amp; Drivers'!K7</f>
        <v>8664.9866999999995</v>
      </c>
      <c r="F7" s="118">
        <f>'Metrics &amp; Drivers'!L7</f>
        <v>10397.984039999999</v>
      </c>
      <c r="G7" s="118">
        <f>'Metrics &amp; Drivers'!M7</f>
        <v>12061.661486399998</v>
      </c>
      <c r="H7" s="118">
        <f>'Metrics &amp; Drivers'!N7</f>
        <v>13750.294094495999</v>
      </c>
      <c r="I7" s="118">
        <f>'Metrics &amp; Drivers'!O7</f>
        <v>15262.826444890561</v>
      </c>
      <c r="K7" s="91" t="s">
        <v>207</v>
      </c>
      <c r="M7" s="163">
        <f>'Metrics &amp; Drivers'!J98</f>
        <v>21</v>
      </c>
    </row>
    <row r="8" spans="2:13" x14ac:dyDescent="0.3">
      <c r="B8" s="119" t="s">
        <v>152</v>
      </c>
      <c r="C8" s="154"/>
      <c r="D8" s="140">
        <f t="shared" ref="D8:I8" si="0">D7/C7-1</f>
        <v>0.27499999999999991</v>
      </c>
      <c r="E8" s="120">
        <f t="shared" si="0"/>
        <v>0.24</v>
      </c>
      <c r="F8" s="120">
        <f t="shared" si="0"/>
        <v>0.19999999999999996</v>
      </c>
      <c r="G8" s="120">
        <f t="shared" si="0"/>
        <v>0.15999999999999992</v>
      </c>
      <c r="H8" s="120">
        <f t="shared" si="0"/>
        <v>0.14000000000000012</v>
      </c>
      <c r="I8" s="120">
        <f t="shared" si="0"/>
        <v>0.1100000000000001</v>
      </c>
      <c r="K8" s="108" t="s">
        <v>208</v>
      </c>
      <c r="L8" s="147"/>
      <c r="M8" s="135">
        <f>M6*M7</f>
        <v>272761.97139663924</v>
      </c>
    </row>
    <row r="9" spans="2:13" x14ac:dyDescent="0.3">
      <c r="B9" s="121" t="s">
        <v>4</v>
      </c>
      <c r="C9" s="155">
        <f>'Metrics &amp; Drivers'!I14</f>
        <v>665.1</v>
      </c>
      <c r="D9" s="141">
        <f>'Metrics &amp; Drivers'!J14</f>
        <v>768.66817499999991</v>
      </c>
      <c r="E9" s="122">
        <f>'Metrics &amp; Drivers'!K14</f>
        <v>909.82360349999988</v>
      </c>
      <c r="F9" s="122">
        <f>'Metrics &amp; Drivers'!L14</f>
        <v>1039.7984039999999</v>
      </c>
      <c r="G9" s="122">
        <f>'Metrics &amp; Drivers'!M14</f>
        <v>1145.8578412079999</v>
      </c>
      <c r="H9" s="122">
        <f>'Metrics &amp; Drivers'!N14</f>
        <v>1237.52646850464</v>
      </c>
      <c r="I9" s="122">
        <f>'Metrics &amp; Drivers'!O14</f>
        <v>1297.3402478156977</v>
      </c>
      <c r="K9" s="91" t="s">
        <v>202</v>
      </c>
      <c r="M9" s="150">
        <f>I34</f>
        <v>0.61009511357509638</v>
      </c>
    </row>
    <row r="10" spans="2:13" x14ac:dyDescent="0.3">
      <c r="C10" s="156"/>
      <c r="D10" s="138"/>
      <c r="K10" s="91" t="s">
        <v>209</v>
      </c>
      <c r="M10" s="137">
        <f>M8*M9</f>
        <v>166410.7459181998</v>
      </c>
    </row>
    <row r="11" spans="2:13" x14ac:dyDescent="0.3">
      <c r="B11" s="115" t="s">
        <v>5</v>
      </c>
      <c r="C11" s="157">
        <f t="shared" ref="C11:I11" si="1">C7-C9</f>
        <v>4815.5999999999995</v>
      </c>
      <c r="D11" s="142">
        <f t="shared" si="1"/>
        <v>6219.2243249999992</v>
      </c>
      <c r="E11" s="127">
        <f t="shared" si="1"/>
        <v>7755.1630964999995</v>
      </c>
      <c r="F11" s="127">
        <f t="shared" si="1"/>
        <v>9358.1856360000002</v>
      </c>
      <c r="G11" s="127">
        <f t="shared" si="1"/>
        <v>10915.803645191998</v>
      </c>
      <c r="H11" s="127">
        <f t="shared" si="1"/>
        <v>12512.767625991359</v>
      </c>
      <c r="I11" s="127">
        <f t="shared" si="1"/>
        <v>13965.486197074864</v>
      </c>
      <c r="K11" s="91" t="s">
        <v>210</v>
      </c>
      <c r="M11" s="137">
        <f>I37</f>
        <v>33641.182261245645</v>
      </c>
    </row>
    <row r="12" spans="2:13" x14ac:dyDescent="0.3">
      <c r="B12" s="119" t="s">
        <v>191</v>
      </c>
      <c r="C12" s="158">
        <f t="shared" ref="C12:I12" si="2">C11/C7</f>
        <v>0.87864688817121894</v>
      </c>
      <c r="D12" s="140">
        <f t="shared" si="2"/>
        <v>0.89</v>
      </c>
      <c r="E12" s="120">
        <f t="shared" si="2"/>
        <v>0.89500000000000002</v>
      </c>
      <c r="F12" s="120">
        <f t="shared" si="2"/>
        <v>0.9</v>
      </c>
      <c r="G12" s="120">
        <f t="shared" si="2"/>
        <v>0.90499999999999992</v>
      </c>
      <c r="H12" s="120">
        <f t="shared" si="2"/>
        <v>0.90999999999999992</v>
      </c>
      <c r="I12" s="120">
        <f t="shared" si="2"/>
        <v>0.91500000000000004</v>
      </c>
      <c r="K12" s="108" t="s">
        <v>211</v>
      </c>
      <c r="L12" s="147"/>
      <c r="M12" s="135">
        <f>M10+M11</f>
        <v>200051.92817944544</v>
      </c>
    </row>
    <row r="13" spans="2:13" x14ac:dyDescent="0.3">
      <c r="C13" s="156"/>
      <c r="D13" s="138"/>
      <c r="K13" s="149" t="s">
        <v>212</v>
      </c>
      <c r="M13" s="136">
        <f>($C$32*M8-I29)/(M8+I29)</f>
        <v>5.3836318979540193E-2</v>
      </c>
    </row>
    <row r="14" spans="2:13" x14ac:dyDescent="0.3">
      <c r="B14" s="121" t="s">
        <v>135</v>
      </c>
      <c r="C14" s="155">
        <f>'Metrics &amp; Drivers'!I20</f>
        <v>203.7</v>
      </c>
      <c r="D14" s="141">
        <f>'Metrics &amp; Drivers'!J20</f>
        <v>223.61255999999997</v>
      </c>
      <c r="E14" s="122">
        <f>'Metrics &amp; Drivers'!K20</f>
        <v>259.94960099999997</v>
      </c>
      <c r="F14" s="122">
        <f>'Metrics &amp; Drivers'!L20</f>
        <v>291.14355311999998</v>
      </c>
      <c r="G14" s="122">
        <f>'Metrics &amp; Drivers'!M20</f>
        <v>313.60319864639996</v>
      </c>
      <c r="H14" s="122">
        <f>'Metrics &amp; Drivers'!N20</f>
        <v>330.00705826790397</v>
      </c>
      <c r="I14" s="122">
        <f>'Metrics &amp; Drivers'!O20</f>
        <v>335.78218178759232</v>
      </c>
      <c r="K14" s="91" t="s">
        <v>213</v>
      </c>
      <c r="M14" s="134">
        <f>'Balance Sheet'!I39+'Balance Sheet'!I31</f>
        <v>3513</v>
      </c>
    </row>
    <row r="15" spans="2:13" x14ac:dyDescent="0.3">
      <c r="B15" s="121" t="s">
        <v>136</v>
      </c>
      <c r="C15" s="155">
        <f>'Metrics &amp; Drivers'!I26</f>
        <v>226.5</v>
      </c>
      <c r="D15" s="141">
        <f>'Metrics &amp; Drivers'!J26</f>
        <v>293.49148499999995</v>
      </c>
      <c r="E15" s="122">
        <f>'Metrics &amp; Drivers'!K26</f>
        <v>346.599468</v>
      </c>
      <c r="F15" s="122">
        <f>'Metrics &amp; Drivers'!L26</f>
        <v>395.12339351999998</v>
      </c>
      <c r="G15" s="122">
        <f>'Metrics &amp; Drivers'!M26</f>
        <v>422.158152024</v>
      </c>
      <c r="H15" s="122">
        <f>'Metrics &amp; Drivers'!N26</f>
        <v>453.759705118368</v>
      </c>
      <c r="I15" s="122">
        <f>'Metrics &amp; Drivers'!O26</f>
        <v>457.88479334671683</v>
      </c>
      <c r="K15" s="91" t="s">
        <v>214</v>
      </c>
      <c r="M15" s="134">
        <f>'Balance Sheet'!I10</f>
        <v>2487.1</v>
      </c>
    </row>
    <row r="16" spans="2:13" x14ac:dyDescent="0.3">
      <c r="B16" s="121" t="s">
        <v>137</v>
      </c>
      <c r="C16" s="155">
        <f>'Metrics &amp; Drivers'!I32</f>
        <v>233.5</v>
      </c>
      <c r="D16" s="141">
        <f>'Metrics &amp; Drivers'!J32</f>
        <v>265.53991499999995</v>
      </c>
      <c r="E16" s="122">
        <f>'Metrics &amp; Drivers'!K32</f>
        <v>311.93952119999994</v>
      </c>
      <c r="F16" s="122">
        <f>'Metrics &amp; Drivers'!L32</f>
        <v>353.53145735999999</v>
      </c>
      <c r="G16" s="122">
        <f>'Metrics &amp; Drivers'!M32</f>
        <v>385.97316756479995</v>
      </c>
      <c r="H16" s="122">
        <f>'Metrics &amp; Drivers'!N32</f>
        <v>412.50882283487994</v>
      </c>
      <c r="I16" s="122">
        <f>'Metrics &amp; Drivers'!O32</f>
        <v>427.35914045693573</v>
      </c>
      <c r="K16" s="108" t="s">
        <v>215</v>
      </c>
      <c r="L16" s="147"/>
      <c r="M16" s="135">
        <f>M12-M14+M15</f>
        <v>199026.02817944545</v>
      </c>
    </row>
    <row r="17" spans="2:13" x14ac:dyDescent="0.3">
      <c r="C17" s="156"/>
      <c r="D17" s="138"/>
      <c r="K17" s="91" t="s">
        <v>175</v>
      </c>
      <c r="M17" s="134">
        <f>Control!F12</f>
        <v>337.28</v>
      </c>
    </row>
    <row r="18" spans="2:13" ht="16.2" thickBot="1" x14ac:dyDescent="0.35">
      <c r="B18" s="115" t="s">
        <v>192</v>
      </c>
      <c r="C18" s="157">
        <f t="shared" ref="C18:I18" si="3">C11-C14-C15-C16</f>
        <v>4151.8999999999996</v>
      </c>
      <c r="D18" s="142">
        <f t="shared" si="3"/>
        <v>5436.5803649999998</v>
      </c>
      <c r="E18" s="127">
        <f t="shared" si="3"/>
        <v>6836.6745062999989</v>
      </c>
      <c r="F18" s="127">
        <f t="shared" si="3"/>
        <v>8318.3872319999991</v>
      </c>
      <c r="G18" s="127">
        <f t="shared" si="3"/>
        <v>9794.0691269567978</v>
      </c>
      <c r="H18" s="127">
        <f t="shared" si="3"/>
        <v>11316.492039770208</v>
      </c>
      <c r="I18" s="127">
        <f t="shared" si="3"/>
        <v>12744.460081483619</v>
      </c>
      <c r="K18" s="132" t="s">
        <v>216</v>
      </c>
      <c r="L18" s="148"/>
      <c r="M18" s="221">
        <f>M16/M17</f>
        <v>590.09140233469361</v>
      </c>
    </row>
    <row r="19" spans="2:13" x14ac:dyDescent="0.3">
      <c r="B19" s="119" t="s">
        <v>191</v>
      </c>
      <c r="C19" s="158">
        <f t="shared" ref="C19:I19" si="4">C18/C7</f>
        <v>0.75754921816556275</v>
      </c>
      <c r="D19" s="140">
        <f t="shared" si="4"/>
        <v>0.77800000000000014</v>
      </c>
      <c r="E19" s="120">
        <f t="shared" si="4"/>
        <v>0.78899999999999992</v>
      </c>
      <c r="F19" s="120">
        <f t="shared" si="4"/>
        <v>0.79999999999999993</v>
      </c>
      <c r="G19" s="120">
        <f t="shared" si="4"/>
        <v>0.81199999999999994</v>
      </c>
      <c r="H19" s="120">
        <f t="shared" si="4"/>
        <v>0.82300000000000006</v>
      </c>
      <c r="I19" s="120">
        <f t="shared" si="4"/>
        <v>0.83500000000000008</v>
      </c>
      <c r="K19" s="151" t="s">
        <v>217</v>
      </c>
      <c r="L19" s="38"/>
      <c r="M19" s="152">
        <f>M18/Control!F11-1</f>
        <v>0.35918784368235324</v>
      </c>
    </row>
    <row r="20" spans="2:13" x14ac:dyDescent="0.3">
      <c r="C20" s="156"/>
      <c r="D20" s="138"/>
    </row>
    <row r="21" spans="2:13" x14ac:dyDescent="0.3">
      <c r="B21" s="121" t="s">
        <v>193</v>
      </c>
      <c r="C21" s="159">
        <f>C18*'Metrics &amp; Drivers'!I66</f>
        <v>545.86176512999282</v>
      </c>
      <c r="D21" s="143">
        <f>D18*'Metrics &amp; Drivers'!J65</f>
        <v>815.48705474999997</v>
      </c>
      <c r="E21" s="123">
        <f>E18*'Metrics &amp; Drivers'!K65</f>
        <v>1093.8679210079999</v>
      </c>
      <c r="F21" s="123">
        <f>F18*'Metrics &amp; Drivers'!L65</f>
        <v>1414.12582944</v>
      </c>
      <c r="G21" s="123">
        <f>G18*'Metrics &amp; Drivers'!M65</f>
        <v>1762.9324428522236</v>
      </c>
      <c r="H21" s="123">
        <f>H18*'Metrics &amp; Drivers'!N65</f>
        <v>2150.1334875563393</v>
      </c>
      <c r="I21" s="123">
        <f>I18*'Metrics &amp; Drivers'!O65</f>
        <v>2548.8920162967243</v>
      </c>
    </row>
    <row r="22" spans="2:13" x14ac:dyDescent="0.3">
      <c r="B22" s="119" t="s">
        <v>194</v>
      </c>
      <c r="C22" s="158">
        <f t="shared" ref="C22:I22" si="5">C21/C18</f>
        <v>0.13147276310363759</v>
      </c>
      <c r="D22" s="140">
        <f t="shared" si="5"/>
        <v>0.15</v>
      </c>
      <c r="E22" s="120">
        <f t="shared" si="5"/>
        <v>0.16</v>
      </c>
      <c r="F22" s="120">
        <f t="shared" si="5"/>
        <v>0.17</v>
      </c>
      <c r="G22" s="120">
        <f t="shared" si="5"/>
        <v>0.18</v>
      </c>
      <c r="H22" s="120">
        <f t="shared" si="5"/>
        <v>0.18999999999999997</v>
      </c>
      <c r="I22" s="120">
        <f t="shared" si="5"/>
        <v>0.20000000000000004</v>
      </c>
    </row>
    <row r="23" spans="2:13" x14ac:dyDescent="0.3">
      <c r="B23" s="115" t="s">
        <v>195</v>
      </c>
      <c r="C23" s="157">
        <f t="shared" ref="C23:I23" si="6">C18-C21</f>
        <v>3606.0382348700068</v>
      </c>
      <c r="D23" s="142">
        <f t="shared" si="6"/>
        <v>4621.0933102500003</v>
      </c>
      <c r="E23" s="127">
        <f t="shared" si="6"/>
        <v>5742.806585291999</v>
      </c>
      <c r="F23" s="127">
        <f t="shared" si="6"/>
        <v>6904.2614025599996</v>
      </c>
      <c r="G23" s="127">
        <f t="shared" si="6"/>
        <v>8031.1366841045747</v>
      </c>
      <c r="H23" s="127">
        <f t="shared" si="6"/>
        <v>9166.3585522138692</v>
      </c>
      <c r="I23" s="127">
        <f t="shared" si="6"/>
        <v>10195.568065186895</v>
      </c>
    </row>
    <row r="24" spans="2:13" x14ac:dyDescent="0.3">
      <c r="B24" s="119" t="s">
        <v>191</v>
      </c>
      <c r="C24" s="158">
        <f t="shared" ref="C24:I24" si="7">C23/C7</f>
        <v>0.65795212926633584</v>
      </c>
      <c r="D24" s="140">
        <f t="shared" si="7"/>
        <v>0.66130000000000011</v>
      </c>
      <c r="E24" s="120">
        <f t="shared" si="7"/>
        <v>0.6627599999999999</v>
      </c>
      <c r="F24" s="120">
        <f t="shared" si="7"/>
        <v>0.66400000000000003</v>
      </c>
      <c r="G24" s="120">
        <f t="shared" si="7"/>
        <v>0.66583999999999999</v>
      </c>
      <c r="H24" s="120">
        <f t="shared" si="7"/>
        <v>0.66663000000000006</v>
      </c>
      <c r="I24" s="120">
        <f t="shared" si="7"/>
        <v>0.66800000000000004</v>
      </c>
    </row>
    <row r="25" spans="2:13" x14ac:dyDescent="0.3">
      <c r="C25" s="156"/>
      <c r="D25" s="138"/>
    </row>
    <row r="26" spans="2:13" x14ac:dyDescent="0.3">
      <c r="B26" s="121" t="s">
        <v>196</v>
      </c>
      <c r="C26" s="155">
        <f>'Metrics &amp; Drivers'!I38</f>
        <v>194.8</v>
      </c>
      <c r="D26" s="141">
        <f>'Metrics &amp; Drivers'!J38</f>
        <v>195.66098999999997</v>
      </c>
      <c r="E26" s="122">
        <f>'Metrics &amp; Drivers'!K38</f>
        <v>216.62466749999999</v>
      </c>
      <c r="F26" s="122">
        <f>'Metrics &amp; Drivers'!L38</f>
        <v>239.15363291999998</v>
      </c>
      <c r="G26" s="122">
        <f>'Metrics &amp; Drivers'!M38</f>
        <v>241.23322972799997</v>
      </c>
      <c r="H26" s="122">
        <f>'Metrics &amp; Drivers'!N38</f>
        <v>247.50529370092798</v>
      </c>
      <c r="I26" s="122">
        <f>'Metrics &amp; Drivers'!O38</f>
        <v>244.20522311824899</v>
      </c>
    </row>
    <row r="27" spans="2:13" x14ac:dyDescent="0.3">
      <c r="B27" s="121" t="s">
        <v>197</v>
      </c>
      <c r="C27" s="155">
        <f>ABS('Metrics &amp; Drivers'!I51)</f>
        <v>28.32</v>
      </c>
      <c r="D27" s="141">
        <f>ABS('Metrics &amp; Drivers'!J51)</f>
        <v>69.878924999999995</v>
      </c>
      <c r="E27" s="122">
        <f>ABS('Metrics &amp; Drivers'!K51)</f>
        <v>86.649867</v>
      </c>
      <c r="F27" s="122">
        <f>ABS('Metrics &amp; Drivers'!L51)</f>
        <v>93.581856359999989</v>
      </c>
      <c r="G27" s="122">
        <f>ABS('Metrics &amp; Drivers'!M51)</f>
        <v>108.55495337759997</v>
      </c>
      <c r="H27" s="122">
        <f>ABS('Metrics &amp; Drivers'!N51)</f>
        <v>110.00235275596799</v>
      </c>
      <c r="I27" s="122">
        <f>ABS('Metrics &amp; Drivers'!O51)</f>
        <v>122.1026115591245</v>
      </c>
    </row>
    <row r="28" spans="2:13" x14ac:dyDescent="0.3">
      <c r="B28" s="121" t="s">
        <v>198</v>
      </c>
      <c r="C28" s="155">
        <f>'Net Working Capital'!I20</f>
        <v>95.729999999999791</v>
      </c>
      <c r="D28" s="141">
        <f>'Net Working Capital'!J20</f>
        <v>95.912927499999796</v>
      </c>
      <c r="E28" s="122">
        <f>'Net Working Capital'!K20</f>
        <v>77.425848899999892</v>
      </c>
      <c r="F28" s="122">
        <f>'Net Working Capital'!L20</f>
        <v>45.057930840000154</v>
      </c>
      <c r="G28" s="122">
        <f>'Net Working Capital'!M20</f>
        <v>2.0795968079996783</v>
      </c>
      <c r="H28" s="122">
        <f>'Net Working Capital'!N20</f>
        <v>-33.048952472735436</v>
      </c>
      <c r="I28" s="122">
        <f>'Net Working Capital'!O20</f>
        <v>-78.651682220516705</v>
      </c>
    </row>
    <row r="29" spans="2:13" ht="16.2" thickBot="1" x14ac:dyDescent="0.35">
      <c r="B29" s="128" t="s">
        <v>199</v>
      </c>
      <c r="C29" s="160">
        <f t="shared" ref="C29:I29" si="8">C23+C26-C27-C28</f>
        <v>3676.7882348700068</v>
      </c>
      <c r="D29" s="144">
        <f t="shared" si="8"/>
        <v>4650.962447750001</v>
      </c>
      <c r="E29" s="129">
        <f t="shared" si="8"/>
        <v>5795.3555368919988</v>
      </c>
      <c r="F29" s="129">
        <f t="shared" si="8"/>
        <v>7004.7752482799997</v>
      </c>
      <c r="G29" s="129">
        <f t="shared" si="8"/>
        <v>8161.7353636469761</v>
      </c>
      <c r="H29" s="129">
        <f t="shared" si="8"/>
        <v>9336.9104456315654</v>
      </c>
      <c r="I29" s="129">
        <f t="shared" si="8"/>
        <v>10396.322358966536</v>
      </c>
    </row>
    <row r="30" spans="2:13" x14ac:dyDescent="0.3">
      <c r="B30" s="119" t="s">
        <v>191</v>
      </c>
      <c r="C30" s="158">
        <f t="shared" ref="C30:I30" si="9">C29/C7</f>
        <v>0.67086106425639191</v>
      </c>
      <c r="D30" s="140">
        <f t="shared" si="9"/>
        <v>0.66557441285051278</v>
      </c>
      <c r="E30" s="120">
        <f t="shared" si="9"/>
        <v>0.66882451612903215</v>
      </c>
      <c r="F30" s="120">
        <f t="shared" si="9"/>
        <v>0.67366666666666664</v>
      </c>
      <c r="G30" s="120">
        <f t="shared" si="9"/>
        <v>0.6766675862068966</v>
      </c>
      <c r="H30" s="120">
        <f t="shared" si="9"/>
        <v>0.67903350877192992</v>
      </c>
      <c r="I30" s="120">
        <f t="shared" si="9"/>
        <v>0.68115315315315317</v>
      </c>
    </row>
    <row r="31" spans="2:13" x14ac:dyDescent="0.3">
      <c r="D31" s="138"/>
    </row>
    <row r="32" spans="2:13" x14ac:dyDescent="0.3">
      <c r="B32" s="124" t="s">
        <v>200</v>
      </c>
      <c r="C32" s="161">
        <f>WACC!J24</f>
        <v>9.4003289578847765E-2</v>
      </c>
      <c r="D32" s="138"/>
    </row>
    <row r="33" spans="1:9" x14ac:dyDescent="0.3">
      <c r="B33" s="121" t="s">
        <v>201</v>
      </c>
      <c r="D33" s="145">
        <v>0.5</v>
      </c>
      <c r="E33" s="125">
        <f>D33+1</f>
        <v>1.5</v>
      </c>
      <c r="F33" s="125">
        <f t="shared" ref="F33:I33" si="10">E33+1</f>
        <v>2.5</v>
      </c>
      <c r="G33" s="125">
        <f t="shared" si="10"/>
        <v>3.5</v>
      </c>
      <c r="H33" s="125">
        <f t="shared" si="10"/>
        <v>4.5</v>
      </c>
      <c r="I33" s="125">
        <f t="shared" si="10"/>
        <v>5.5</v>
      </c>
    </row>
    <row r="34" spans="1:9" x14ac:dyDescent="0.3">
      <c r="B34" s="121" t="s">
        <v>202</v>
      </c>
      <c r="D34" s="146">
        <f t="shared" ref="D34:I34" si="11">1/(1+$C$32)^D33</f>
        <v>0.9560721907341726</v>
      </c>
      <c r="E34" s="126">
        <f t="shared" si="11"/>
        <v>0.87392076407944463</v>
      </c>
      <c r="F34" s="126">
        <f t="shared" si="11"/>
        <v>0.79882827812690849</v>
      </c>
      <c r="G34" s="126">
        <f t="shared" si="11"/>
        <v>0.73018818657705209</v>
      </c>
      <c r="H34" s="126">
        <f t="shared" si="11"/>
        <v>0.66744606120713612</v>
      </c>
      <c r="I34" s="126">
        <f t="shared" si="11"/>
        <v>0.61009511357509638</v>
      </c>
    </row>
    <row r="35" spans="1:9" x14ac:dyDescent="0.3">
      <c r="B35" s="115" t="s">
        <v>203</v>
      </c>
      <c r="C35" s="130"/>
      <c r="D35" s="142">
        <f t="shared" ref="D35:I35" si="12">D29*D34</f>
        <v>4446.6558564427132</v>
      </c>
      <c r="E35" s="127">
        <f t="shared" si="12"/>
        <v>5064.6815389126959</v>
      </c>
      <c r="F35" s="127">
        <f t="shared" si="12"/>
        <v>5595.6125502494997</v>
      </c>
      <c r="G35" s="127">
        <f t="shared" si="12"/>
        <v>5959.6027445031823</v>
      </c>
      <c r="H35" s="127">
        <f t="shared" si="12"/>
        <v>6231.884100780554</v>
      </c>
      <c r="I35" s="127">
        <f t="shared" si="12"/>
        <v>6342.7454703570029</v>
      </c>
    </row>
    <row r="37" spans="1:9" ht="16.2" thickBot="1" x14ac:dyDescent="0.35">
      <c r="B37" s="132" t="s">
        <v>204</v>
      </c>
      <c r="C37" s="131"/>
      <c r="D37" s="131"/>
      <c r="E37" s="131"/>
      <c r="F37" s="131"/>
      <c r="G37" s="131"/>
      <c r="H37" s="131"/>
      <c r="I37" s="133">
        <f>SUM(D35:I35)</f>
        <v>33641.182261245645</v>
      </c>
    </row>
    <row r="38" spans="1:9" x14ac:dyDescent="0.3">
      <c r="B38" s="165"/>
      <c r="C38" s="165"/>
      <c r="D38" s="165"/>
      <c r="E38" s="165"/>
      <c r="F38" s="165"/>
      <c r="G38" s="165"/>
      <c r="H38" s="165"/>
      <c r="I38" s="165"/>
    </row>
    <row r="39" spans="1:9" ht="16.2" thickBot="1" x14ac:dyDescent="0.35">
      <c r="B39" s="180" t="s">
        <v>222</v>
      </c>
      <c r="C39" s="164"/>
      <c r="D39" s="164"/>
      <c r="E39" s="181"/>
      <c r="F39" s="164"/>
      <c r="G39" s="164"/>
      <c r="H39" s="164"/>
      <c r="I39" s="164"/>
    </row>
    <row r="40" spans="1:9" x14ac:dyDescent="0.3">
      <c r="C40" s="168"/>
      <c r="F40" s="168" t="s">
        <v>221</v>
      </c>
    </row>
    <row r="41" spans="1:9" x14ac:dyDescent="0.3">
      <c r="B41" s="170"/>
      <c r="C41" s="169">
        <v>16</v>
      </c>
      <c r="D41" s="169">
        <v>19</v>
      </c>
      <c r="E41" s="169">
        <v>22</v>
      </c>
      <c r="F41" s="169">
        <v>25</v>
      </c>
      <c r="G41" s="169">
        <v>28</v>
      </c>
      <c r="H41" s="169">
        <v>31</v>
      </c>
      <c r="I41" s="171">
        <v>34</v>
      </c>
    </row>
    <row r="42" spans="1:9" ht="16.2" thickBot="1" x14ac:dyDescent="0.35">
      <c r="B42" s="177">
        <v>9.8000000000000004E-2</v>
      </c>
      <c r="C42" s="173">
        <f>(D$29/(1+$B42)^0.5+E$29/(1+$B42)^1.5+F$29/(1+$B42)^2.5+G$29/(1+$B42)^3.5+H$29/(1+$B42)^4.5+I$29/(1+$B42)^5.5+$M$6*C$41/(1+$B42)^5.5-$M$14+$M$15)/$M$17</f>
        <v>463.998295125906</v>
      </c>
      <c r="D42" s="173">
        <f>(D$29/(1+$B42)^0.5+E$29/(1+$B42)^1.5+F$29/(1+$B42)^2.5+G$29/(1+$B42)^3.5+H$29/(1+$B42)^4.5+I$29/(1+$B42)^5.5+$M$6*D$41/(1+$B42)^5.5-$M$14+$M$15)/$M$17</f>
        <v>533.08306588417338</v>
      </c>
      <c r="E42" s="173">
        <f>(D$29/(1+$B42)^0.5+E$29/(1+$B42)^1.5+F$29/(1+$B42)^2.5+G$29/(1+$B42)^3.5+H$29/(1+$B42)^4.5+I$29/(1+$B42)^5.5+$M$6*E$41/(1+$B42)^5.5-$M$14+$M$15)/$M$17</f>
        <v>602.16783664244076</v>
      </c>
      <c r="F42" s="173">
        <f>(D$29/(1+$B42)^0.5+E$29/(1+$B42)^1.5+F$29/(1+$B42)^2.5+G$29/(1+$B42)^3.5+H$29/(1+$B42)^4.5+I$29/(1+$B42)^5.5+$M$6*F$41/(1+$B42)^5.5-$M$14+$M$15)/$M$17</f>
        <v>671.25260740070826</v>
      </c>
      <c r="G42" s="173">
        <f>(D$29/(1+$B42)^0.5+E$29/(1+$B42)^1.5+F$29/(1+$B42)^2.5+G$29/(1+$B42)^3.5+H$29/(1+$B42)^4.5+I$29/(1+$B42)^5.5+$M$6*G$41/(1+$B42)^5.5-$M$14+$M$15)/$M$17</f>
        <v>740.33737815897564</v>
      </c>
      <c r="H42" s="173">
        <f>(D$29/(1+$B42)^0.5+E$29/(1+$B42)^1.5+F$29/(1+$B42)^2.5+G$29/(1+$B42)^3.5+H$29/(1+$B42)^4.5+I$29/(1+$B42)^5.5+$M$6*H$41/(1+$B42)^5.5-$M$14+$M$15)/$M$17</f>
        <v>809.42214891724268</v>
      </c>
      <c r="I42" s="175">
        <f>(D$29/(1+$B42)^0.5+E$29/(1+$B42)^1.5+F$29/(1+$B42)^2.5+G$29/(1+$B42)^3.5+H$29/(1+$B42)^4.5+I$29/(1+$B42)^5.5+$M$6*I$41/(1+$B42)^5.5-$M$14+$M$15)/$M$17</f>
        <v>878.50691967551018</v>
      </c>
    </row>
    <row r="43" spans="1:9" ht="16.2" thickBot="1" x14ac:dyDescent="0.35">
      <c r="B43" s="178">
        <v>0.108</v>
      </c>
      <c r="C43" s="173">
        <f t="shared" ref="C43:C48" si="13">(D$29/(1+$B43)^0.5+E$29/(1+$B43)^1.5+F$29/(1+$B43)^2.5+G$29/(1+$B43)^3.5+H$29/(1+$B43)^4.5+I$29/(1+$B43)^5.5+$M$6*C$41/(1+$B43)^5.5-$M$14+$M$15)/$M$17</f>
        <v>443.27846344725714</v>
      </c>
      <c r="D43" s="191">
        <f t="shared" ref="D43:D48" si="14">(D$29/(1+$B43)^0.5+E$29/(1+$B43)^1.5+F$29/(1+$B43)^2.5+G$29/(1+$B43)^3.5+H$29/(1+$B43)^4.5+I$29/(1+$B43)^5.5+$M$6*D$41/(1+$B43)^5.5-$M$14+$M$15)/$M$17</f>
        <v>509.00284516347642</v>
      </c>
      <c r="E43" s="192">
        <f t="shared" ref="E43:E48" si="15">(D$29/(1+$B43)^0.5+E$29/(1+$B43)^1.5+F$29/(1+$B43)^2.5+G$29/(1+$B43)^3.5+H$29/(1+$B43)^4.5+I$29/(1+$B43)^5.5+$M$6*E$41/(1+$B43)^5.5-$M$14+$M$15)/$M$17</f>
        <v>574.72722687969576</v>
      </c>
      <c r="F43" s="192">
        <f t="shared" ref="F43:F48" si="16">(D$29/(1+$B43)^0.5+E$29/(1+$B43)^1.5+F$29/(1+$B43)^2.5+G$29/(1+$B43)^3.5+H$29/(1+$B43)^4.5+I$29/(1+$B43)^5.5+$M$6*F$41/(1+$B43)^5.5-$M$14+$M$15)/$M$17</f>
        <v>640.45160859591499</v>
      </c>
      <c r="G43" s="192">
        <f t="shared" ref="G43:G48" si="17">(D$29/(1+$B43)^0.5+E$29/(1+$B43)^1.5+F$29/(1+$B43)^2.5+G$29/(1+$B43)^3.5+H$29/(1+$B43)^4.5+I$29/(1+$B43)^5.5+$M$6*G$41/(1+$B43)^5.5-$M$14+$M$15)/$M$17</f>
        <v>706.17599031213433</v>
      </c>
      <c r="H43" s="193">
        <f t="shared" ref="H43:H48" si="18">(D$29/(1+$B43)^0.5+E$29/(1+$B43)^1.5+F$29/(1+$B43)^2.5+G$29/(1+$B43)^3.5+H$29/(1+$B43)^4.5+I$29/(1+$B43)^5.5+$M$6*H$41/(1+$B43)^5.5-$M$14+$M$15)/$M$17</f>
        <v>771.90037202835356</v>
      </c>
      <c r="I43" s="175">
        <f t="shared" ref="I43:I48" si="19">(D$29/(1+$B43)^0.5+E$29/(1+$B43)^1.5+F$29/(1+$B43)^2.5+G$29/(1+$B43)^3.5+H$29/(1+$B43)^4.5+I$29/(1+$B43)^5.5+$M$6*I$41/(1+$B43)^5.5-$M$14+$M$15)/$M$17</f>
        <v>837.62475374457267</v>
      </c>
    </row>
    <row r="44" spans="1:9" x14ac:dyDescent="0.3">
      <c r="B44" s="178">
        <v>0.11799999999999999</v>
      </c>
      <c r="C44" s="173">
        <f t="shared" si="13"/>
        <v>423.70455097990492</v>
      </c>
      <c r="D44" s="194">
        <f t="shared" si="14"/>
        <v>486.26001816909383</v>
      </c>
      <c r="E44" s="183">
        <f t="shared" si="15"/>
        <v>548.81548535828279</v>
      </c>
      <c r="F44" s="184">
        <f t="shared" si="16"/>
        <v>611.37095254747169</v>
      </c>
      <c r="G44" s="185">
        <f t="shared" si="17"/>
        <v>673.9264197366607</v>
      </c>
      <c r="H44" s="198">
        <f t="shared" si="18"/>
        <v>736.48188692584949</v>
      </c>
      <c r="I44" s="175">
        <f t="shared" si="19"/>
        <v>799.03735411503851</v>
      </c>
    </row>
    <row r="45" spans="1:9" x14ac:dyDescent="0.3">
      <c r="A45" s="172"/>
      <c r="B45" s="178">
        <v>0.128</v>
      </c>
      <c r="C45" s="173">
        <f t="shared" si="13"/>
        <v>405.20302060008072</v>
      </c>
      <c r="D45" s="194">
        <f t="shared" si="14"/>
        <v>464.76856884235747</v>
      </c>
      <c r="E45" s="186">
        <f t="shared" si="15"/>
        <v>524.33411708463427</v>
      </c>
      <c r="F45" s="182">
        <f t="shared" si="16"/>
        <v>583.89966532691096</v>
      </c>
      <c r="G45" s="190">
        <f t="shared" si="17"/>
        <v>643.46521356918765</v>
      </c>
      <c r="H45" s="198">
        <f t="shared" si="18"/>
        <v>703.03076181146434</v>
      </c>
      <c r="I45" s="175">
        <f t="shared" si="19"/>
        <v>762.59631005374092</v>
      </c>
    </row>
    <row r="46" spans="1:9" ht="16.2" thickBot="1" x14ac:dyDescent="0.35">
      <c r="B46" s="178">
        <v>0.13800000000000001</v>
      </c>
      <c r="C46" s="173">
        <f t="shared" si="13"/>
        <v>387.70566884429257</v>
      </c>
      <c r="D46" s="194">
        <f t="shared" si="14"/>
        <v>444.44872854468883</v>
      </c>
      <c r="E46" s="187">
        <f t="shared" si="15"/>
        <v>501.19178824508498</v>
      </c>
      <c r="F46" s="188">
        <f t="shared" si="16"/>
        <v>557.93484794548124</v>
      </c>
      <c r="G46" s="189">
        <f t="shared" si="17"/>
        <v>614.67790764587744</v>
      </c>
      <c r="H46" s="198">
        <f t="shared" si="18"/>
        <v>671.42096734627364</v>
      </c>
      <c r="I46" s="175">
        <f t="shared" si="19"/>
        <v>728.16402704666984</v>
      </c>
    </row>
    <row r="47" spans="1:9" ht="16.2" thickBot="1" x14ac:dyDescent="0.35">
      <c r="B47" s="178">
        <v>0.14799999999999999</v>
      </c>
      <c r="C47" s="173">
        <f t="shared" si="13"/>
        <v>371.14919593892938</v>
      </c>
      <c r="D47" s="195">
        <f t="shared" si="14"/>
        <v>425.22647194693633</v>
      </c>
      <c r="E47" s="196">
        <f t="shared" si="15"/>
        <v>479.30374795494333</v>
      </c>
      <c r="F47" s="196">
        <f t="shared" si="16"/>
        <v>533.38102396295039</v>
      </c>
      <c r="G47" s="196">
        <f t="shared" si="17"/>
        <v>587.45829997095734</v>
      </c>
      <c r="H47" s="197">
        <f t="shared" si="18"/>
        <v>641.5355759789644</v>
      </c>
      <c r="I47" s="175">
        <f t="shared" si="19"/>
        <v>695.61285198697135</v>
      </c>
    </row>
    <row r="48" spans="1:9" x14ac:dyDescent="0.3">
      <c r="B48" s="179">
        <v>0.158</v>
      </c>
      <c r="C48" s="174">
        <f t="shared" si="13"/>
        <v>355.47481388274559</v>
      </c>
      <c r="D48" s="174">
        <f t="shared" si="14"/>
        <v>407.03305756389148</v>
      </c>
      <c r="E48" s="174">
        <f t="shared" si="15"/>
        <v>458.59130124503747</v>
      </c>
      <c r="F48" s="174">
        <f t="shared" si="16"/>
        <v>510.14954492618335</v>
      </c>
      <c r="G48" s="174">
        <f t="shared" si="17"/>
        <v>561.70778860732935</v>
      </c>
      <c r="H48" s="174">
        <f t="shared" si="18"/>
        <v>613.26603228847523</v>
      </c>
      <c r="I48" s="176">
        <f t="shared" si="19"/>
        <v>664.82427596962111</v>
      </c>
    </row>
  </sheetData>
  <mergeCells count="1">
    <mergeCell ref="K5:M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2AF8E-63E9-47B3-903F-C4D42BB628D3}">
  <dimension ref="B2:J24"/>
  <sheetViews>
    <sheetView showGridLines="0" zoomScale="98" workbookViewId="0"/>
  </sheetViews>
  <sheetFormatPr defaultRowHeight="15.6" x14ac:dyDescent="0.3"/>
  <cols>
    <col min="2" max="2" width="30.77734375" bestFit="1" customWidth="1"/>
    <col min="5" max="5" width="10.77734375" bestFit="1" customWidth="1"/>
    <col min="7" max="7" width="28.33203125" bestFit="1" customWidth="1"/>
  </cols>
  <sheetData>
    <row r="2" spans="2:10" ht="17.399999999999999" x14ac:dyDescent="0.35">
      <c r="B2" s="90" t="s">
        <v>169</v>
      </c>
    </row>
    <row r="3" spans="2:10" x14ac:dyDescent="0.3">
      <c r="B3" s="116" t="s">
        <v>122</v>
      </c>
    </row>
    <row r="5" spans="2:10" x14ac:dyDescent="0.3">
      <c r="B5" s="208" t="s">
        <v>170</v>
      </c>
      <c r="C5" s="209"/>
      <c r="D5" s="209"/>
      <c r="E5" s="210"/>
      <c r="G5" s="208" t="s">
        <v>171</v>
      </c>
      <c r="H5" s="209"/>
      <c r="I5" s="209"/>
      <c r="J5" s="210"/>
    </row>
    <row r="6" spans="2:10" x14ac:dyDescent="0.3">
      <c r="B6" s="91" t="s">
        <v>172</v>
      </c>
      <c r="E6" s="92">
        <v>3.9600000000000003E-2</v>
      </c>
    </row>
    <row r="7" spans="2:10" x14ac:dyDescent="0.3">
      <c r="B7" s="91" t="s">
        <v>173</v>
      </c>
      <c r="E7" s="92">
        <v>3.5936000000000003E-2</v>
      </c>
      <c r="G7" s="97" t="s">
        <v>172</v>
      </c>
      <c r="H7" s="113"/>
      <c r="I7" s="113"/>
      <c r="J7" s="98">
        <f>E6</f>
        <v>3.9600000000000003E-2</v>
      </c>
    </row>
    <row r="8" spans="2:10" x14ac:dyDescent="0.3">
      <c r="B8" s="91" t="s">
        <v>226</v>
      </c>
      <c r="E8" s="93">
        <v>1.55</v>
      </c>
      <c r="G8" s="91" t="s">
        <v>187</v>
      </c>
      <c r="H8" s="114"/>
      <c r="I8" s="114"/>
      <c r="J8" s="92">
        <v>1.03E-2</v>
      </c>
    </row>
    <row r="9" spans="2:10" x14ac:dyDescent="0.3">
      <c r="B9" s="91" t="s">
        <v>142</v>
      </c>
      <c r="E9" s="92">
        <v>0.2</v>
      </c>
      <c r="G9" s="99" t="s">
        <v>174</v>
      </c>
      <c r="H9" s="114"/>
      <c r="I9" s="114"/>
      <c r="J9" s="100">
        <f>J7+J8</f>
        <v>4.99E-2</v>
      </c>
    </row>
    <row r="10" spans="2:10" x14ac:dyDescent="0.3">
      <c r="B10" s="91" t="s">
        <v>188</v>
      </c>
      <c r="E10" s="94">
        <f>Control!F11</f>
        <v>434.15</v>
      </c>
      <c r="G10" s="91" t="s">
        <v>142</v>
      </c>
      <c r="H10" s="114"/>
      <c r="I10" s="114"/>
      <c r="J10" s="101">
        <f>E9</f>
        <v>0.2</v>
      </c>
    </row>
    <row r="11" spans="2:10" x14ac:dyDescent="0.3">
      <c r="B11" s="91" t="s">
        <v>175</v>
      </c>
      <c r="E11" s="94">
        <f>Control!F12</f>
        <v>337.28</v>
      </c>
      <c r="G11" s="102" t="s">
        <v>176</v>
      </c>
      <c r="H11" s="112"/>
      <c r="I11" s="112"/>
      <c r="J11" s="103">
        <f>J9*(1-J10)</f>
        <v>3.9920000000000004E-2</v>
      </c>
    </row>
    <row r="12" spans="2:10" x14ac:dyDescent="0.3">
      <c r="B12" s="95" t="s">
        <v>177</v>
      </c>
      <c r="C12" s="38"/>
      <c r="D12" s="38"/>
      <c r="E12" s="96">
        <f>'Balance Sheet'!I39</f>
        <v>3513</v>
      </c>
    </row>
    <row r="13" spans="2:10" x14ac:dyDescent="0.3">
      <c r="G13" s="208" t="s">
        <v>178</v>
      </c>
      <c r="H13" s="209"/>
      <c r="I13" s="209"/>
      <c r="J13" s="210"/>
    </row>
    <row r="15" spans="2:10" x14ac:dyDescent="0.3">
      <c r="G15" s="97" t="s">
        <v>172</v>
      </c>
      <c r="H15" s="113"/>
      <c r="I15" s="113"/>
      <c r="J15" s="98">
        <f>E6</f>
        <v>3.9600000000000003E-2</v>
      </c>
    </row>
    <row r="16" spans="2:10" x14ac:dyDescent="0.3">
      <c r="G16" s="91" t="s">
        <v>173</v>
      </c>
      <c r="H16" s="114"/>
      <c r="I16" s="114"/>
      <c r="J16" s="101">
        <f>E7</f>
        <v>3.5936000000000003E-2</v>
      </c>
    </row>
    <row r="17" spans="2:10" x14ac:dyDescent="0.3">
      <c r="G17" s="91" t="s">
        <v>179</v>
      </c>
      <c r="H17" s="114"/>
      <c r="I17" s="114"/>
      <c r="J17" s="104">
        <f>E8</f>
        <v>1.55</v>
      </c>
    </row>
    <row r="18" spans="2:10" x14ac:dyDescent="0.3">
      <c r="G18" s="102" t="s">
        <v>180</v>
      </c>
      <c r="H18" s="112"/>
      <c r="I18" s="112"/>
      <c r="J18" s="103">
        <f>J15+J17*J16</f>
        <v>9.5300800000000019E-2</v>
      </c>
    </row>
    <row r="21" spans="2:10" x14ac:dyDescent="0.3">
      <c r="B21" s="211" t="s">
        <v>181</v>
      </c>
      <c r="C21" s="212"/>
      <c r="D21" s="212"/>
      <c r="E21" s="212"/>
      <c r="F21" s="212"/>
      <c r="G21" s="212" t="s">
        <v>182</v>
      </c>
      <c r="H21" s="204" t="s">
        <v>183</v>
      </c>
      <c r="I21" s="212"/>
      <c r="J21" s="205" t="s">
        <v>184</v>
      </c>
    </row>
    <row r="22" spans="2:10" x14ac:dyDescent="0.3">
      <c r="B22" s="97" t="s">
        <v>177</v>
      </c>
      <c r="C22" s="37"/>
      <c r="D22" s="37"/>
      <c r="E22" s="37"/>
      <c r="F22" s="37"/>
      <c r="G22" s="105">
        <f>E12</f>
        <v>3513</v>
      </c>
      <c r="H22" s="106">
        <f>G22/(G22+G23)</f>
        <v>2.3428885482915683E-2</v>
      </c>
      <c r="I22" s="37"/>
      <c r="J22" s="98">
        <f>J11</f>
        <v>3.9920000000000004E-2</v>
      </c>
    </row>
    <row r="23" spans="2:10" x14ac:dyDescent="0.3">
      <c r="B23" s="91" t="s">
        <v>185</v>
      </c>
      <c r="G23" s="105">
        <f>E10*E11</f>
        <v>146430.11199999999</v>
      </c>
      <c r="H23" s="107">
        <f>G23/(G23+G22)</f>
        <v>0.97657111451708434</v>
      </c>
      <c r="J23" s="101">
        <f>J18</f>
        <v>9.5300800000000019E-2</v>
      </c>
    </row>
    <row r="24" spans="2:10" x14ac:dyDescent="0.3">
      <c r="B24" s="108" t="s">
        <v>186</v>
      </c>
      <c r="C24" s="115"/>
      <c r="D24" s="115"/>
      <c r="E24" s="115"/>
      <c r="F24" s="115"/>
      <c r="G24" s="109">
        <f>G23+G22</f>
        <v>149943.11199999999</v>
      </c>
      <c r="H24" s="110">
        <f>H23+H22</f>
        <v>1</v>
      </c>
      <c r="I24" s="115"/>
      <c r="J24" s="111">
        <f>J22*H22+J23*H23</f>
        <v>9.4003289578847765E-2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CDDF9-6325-4EF4-8EDB-BE4EA6BE37C6}">
  <dimension ref="B2:I44"/>
  <sheetViews>
    <sheetView showGridLines="0" zoomScaleNormal="100" workbookViewId="0"/>
  </sheetViews>
  <sheetFormatPr defaultRowHeight="15.6" x14ac:dyDescent="0.3"/>
  <cols>
    <col min="1" max="1" width="1.88671875" customWidth="1"/>
    <col min="2" max="2" width="46.33203125" customWidth="1"/>
    <col min="3" max="9" width="15.77734375" customWidth="1"/>
  </cols>
  <sheetData>
    <row r="2" spans="2:9" ht="17.399999999999999" x14ac:dyDescent="0.35">
      <c r="B2" s="12" t="s">
        <v>0</v>
      </c>
      <c r="C2" s="2"/>
      <c r="D2" s="2"/>
      <c r="E2" s="2"/>
      <c r="F2" s="2"/>
      <c r="G2" s="2"/>
      <c r="H2" s="2"/>
      <c r="I2" s="2"/>
    </row>
    <row r="3" spans="2:9" x14ac:dyDescent="0.3">
      <c r="B3" s="1" t="s">
        <v>1</v>
      </c>
      <c r="C3" s="2"/>
      <c r="D3" s="2"/>
      <c r="E3" s="2"/>
      <c r="F3" s="2"/>
      <c r="G3" s="2"/>
      <c r="H3" s="2"/>
      <c r="I3" s="2"/>
    </row>
    <row r="4" spans="2:9" x14ac:dyDescent="0.3">
      <c r="B4" s="3" t="s">
        <v>2</v>
      </c>
      <c r="C4" s="2"/>
      <c r="D4" s="2"/>
      <c r="E4" s="2"/>
      <c r="F4" s="2"/>
      <c r="G4" s="2"/>
      <c r="H4" s="2"/>
      <c r="I4" s="2"/>
    </row>
    <row r="5" spans="2:9" x14ac:dyDescent="0.3">
      <c r="B5" s="2"/>
      <c r="C5" s="2"/>
      <c r="D5" s="2"/>
      <c r="E5" s="2"/>
      <c r="F5" s="2"/>
      <c r="G5" s="2"/>
      <c r="H5" s="2"/>
      <c r="I5" s="2"/>
    </row>
    <row r="6" spans="2:9" x14ac:dyDescent="0.3">
      <c r="B6" s="2"/>
      <c r="C6" s="225" t="s">
        <v>117</v>
      </c>
      <c r="D6" s="225"/>
      <c r="E6" s="225"/>
      <c r="F6" s="225"/>
      <c r="G6" s="225"/>
      <c r="H6" s="225"/>
      <c r="I6" s="225"/>
    </row>
    <row r="7" spans="2:9" x14ac:dyDescent="0.3">
      <c r="B7" s="215"/>
      <c r="C7" s="215">
        <v>2019</v>
      </c>
      <c r="D7" s="215">
        <v>2020</v>
      </c>
      <c r="E7" s="215">
        <v>2021</v>
      </c>
      <c r="F7" s="215">
        <v>2022</v>
      </c>
      <c r="G7" s="215">
        <v>2023</v>
      </c>
      <c r="H7" s="215">
        <v>2024</v>
      </c>
      <c r="I7" s="215">
        <v>2025</v>
      </c>
    </row>
    <row r="8" spans="2:9" ht="16.2" thickBot="1" x14ac:dyDescent="0.35">
      <c r="B8" s="4" t="s">
        <v>3</v>
      </c>
      <c r="C8" s="5">
        <v>994.1</v>
      </c>
      <c r="D8" s="5">
        <v>1451.1</v>
      </c>
      <c r="E8" s="5">
        <v>2793.1</v>
      </c>
      <c r="F8" s="5">
        <v>2817.1</v>
      </c>
      <c r="G8" s="5">
        <v>3283.1</v>
      </c>
      <c r="H8" s="5">
        <v>3224.1</v>
      </c>
      <c r="I8" s="5">
        <v>5480.7</v>
      </c>
    </row>
    <row r="9" spans="2:9" x14ac:dyDescent="0.3">
      <c r="B9" s="2" t="s">
        <v>4</v>
      </c>
      <c r="C9" s="6">
        <v>241.3</v>
      </c>
      <c r="D9" s="6">
        <v>555.6</v>
      </c>
      <c r="E9" s="6">
        <v>988.1</v>
      </c>
      <c r="F9" s="6">
        <v>1256.0999999999999</v>
      </c>
      <c r="G9" s="6">
        <v>1059.2</v>
      </c>
      <c r="H9" s="6">
        <v>520.6</v>
      </c>
      <c r="I9" s="6">
        <v>665.1</v>
      </c>
    </row>
    <row r="10" spans="2:9" ht="16.2" thickBot="1" x14ac:dyDescent="0.35">
      <c r="B10" s="4" t="s">
        <v>5</v>
      </c>
      <c r="C10" s="7">
        <f>C8-C9</f>
        <v>752.8</v>
      </c>
      <c r="D10" s="7">
        <f t="shared" ref="D10:I10" si="0">D8-D9</f>
        <v>895.49999999999989</v>
      </c>
      <c r="E10" s="7">
        <f t="shared" si="0"/>
        <v>1805</v>
      </c>
      <c r="F10" s="7">
        <f t="shared" si="0"/>
        <v>1561</v>
      </c>
      <c r="G10" s="7">
        <f t="shared" si="0"/>
        <v>2223.8999999999996</v>
      </c>
      <c r="H10" s="7">
        <f t="shared" si="0"/>
        <v>2703.5</v>
      </c>
      <c r="I10" s="7">
        <f t="shared" si="0"/>
        <v>4815.5999999999995</v>
      </c>
    </row>
    <row r="11" spans="2:9" x14ac:dyDescent="0.3">
      <c r="B11" s="2"/>
      <c r="C11" s="8"/>
      <c r="D11" s="8"/>
      <c r="E11" s="8"/>
      <c r="F11" s="8"/>
      <c r="G11" s="8"/>
      <c r="H11" s="8"/>
      <c r="I11" s="8"/>
    </row>
    <row r="12" spans="2:9" x14ac:dyDescent="0.3">
      <c r="B12" s="1" t="s">
        <v>6</v>
      </c>
      <c r="C12" s="8"/>
      <c r="D12" s="8"/>
      <c r="E12" s="8"/>
      <c r="F12" s="8"/>
      <c r="G12" s="8"/>
      <c r="H12" s="8"/>
      <c r="I12" s="8"/>
    </row>
    <row r="13" spans="2:9" x14ac:dyDescent="0.3">
      <c r="B13" s="2" t="s">
        <v>7</v>
      </c>
      <c r="C13" s="6">
        <v>481.8</v>
      </c>
      <c r="D13" s="6">
        <v>627.79999999999995</v>
      </c>
      <c r="E13" s="6">
        <v>1129.9000000000001</v>
      </c>
      <c r="F13" s="6">
        <v>919.6</v>
      </c>
      <c r="G13" s="6">
        <v>830.7</v>
      </c>
      <c r="H13" s="6">
        <v>252.9</v>
      </c>
      <c r="I13" s="6">
        <v>203.7</v>
      </c>
    </row>
    <row r="14" spans="2:9" x14ac:dyDescent="0.3">
      <c r="B14" s="2" t="s">
        <v>8</v>
      </c>
      <c r="C14" s="6">
        <v>44.97</v>
      </c>
      <c r="D14" s="6">
        <v>180.7</v>
      </c>
      <c r="E14" s="6">
        <v>366.4</v>
      </c>
      <c r="F14" s="6">
        <v>507.6</v>
      </c>
      <c r="G14" s="6">
        <v>592.4</v>
      </c>
      <c r="H14" s="6">
        <v>374.7</v>
      </c>
      <c r="I14" s="6">
        <v>226.5</v>
      </c>
    </row>
    <row r="15" spans="2:9" x14ac:dyDescent="0.3">
      <c r="B15" s="2" t="s">
        <v>9</v>
      </c>
      <c r="C15" s="6">
        <v>31.71</v>
      </c>
      <c r="D15" s="6">
        <v>66.430000000000007</v>
      </c>
      <c r="E15" s="6">
        <v>158.69999999999999</v>
      </c>
      <c r="F15" s="6">
        <v>181.6</v>
      </c>
      <c r="G15" s="6">
        <v>152.6</v>
      </c>
      <c r="H15" s="6">
        <v>164.9</v>
      </c>
      <c r="I15" s="6">
        <v>233.5</v>
      </c>
    </row>
    <row r="16" spans="2:9" ht="16.2" thickBot="1" x14ac:dyDescent="0.35">
      <c r="B16" s="4" t="s">
        <v>10</v>
      </c>
      <c r="C16" s="7">
        <f>SUM(C13:C15)</f>
        <v>558.48</v>
      </c>
      <c r="D16" s="7">
        <f t="shared" ref="D16:I16" si="1">SUM(D13:D15)</f>
        <v>874.93000000000006</v>
      </c>
      <c r="E16" s="7">
        <f t="shared" si="1"/>
        <v>1655.0000000000002</v>
      </c>
      <c r="F16" s="7">
        <f t="shared" si="1"/>
        <v>1608.8</v>
      </c>
      <c r="G16" s="7">
        <f t="shared" si="1"/>
        <v>1575.6999999999998</v>
      </c>
      <c r="H16" s="7">
        <f t="shared" si="1"/>
        <v>792.5</v>
      </c>
      <c r="I16" s="7">
        <f t="shared" si="1"/>
        <v>663.7</v>
      </c>
    </row>
    <row r="17" spans="2:9" x14ac:dyDescent="0.3">
      <c r="B17" s="2"/>
      <c r="C17" s="8"/>
      <c r="D17" s="8"/>
      <c r="E17" s="8"/>
      <c r="F17" s="8"/>
      <c r="G17" s="8"/>
      <c r="H17" s="8"/>
      <c r="I17" s="8"/>
    </row>
    <row r="18" spans="2:9" ht="16.2" thickBot="1" x14ac:dyDescent="0.35">
      <c r="B18" s="4" t="s">
        <v>11</v>
      </c>
      <c r="C18" s="7">
        <f>C10-C16</f>
        <v>194.31999999999994</v>
      </c>
      <c r="D18" s="7">
        <f t="shared" ref="D18:I18" si="2">D10-D16</f>
        <v>20.569999999999823</v>
      </c>
      <c r="E18" s="7">
        <f t="shared" si="2"/>
        <v>149.99999999999977</v>
      </c>
      <c r="F18" s="7">
        <f t="shared" si="2"/>
        <v>-47.799999999999955</v>
      </c>
      <c r="G18" s="7">
        <f t="shared" si="2"/>
        <v>648.19999999999982</v>
      </c>
      <c r="H18" s="7">
        <f t="shared" si="2"/>
        <v>1911</v>
      </c>
      <c r="I18" s="7">
        <f t="shared" si="2"/>
        <v>4151.8999999999996</v>
      </c>
    </row>
    <row r="19" spans="2:9" x14ac:dyDescent="0.3">
      <c r="B19" s="2"/>
      <c r="C19" s="8"/>
      <c r="D19" s="8"/>
      <c r="E19" s="8"/>
      <c r="F19" s="8"/>
      <c r="G19" s="8"/>
      <c r="H19" s="8"/>
      <c r="I19" s="8"/>
    </row>
    <row r="20" spans="2:9" x14ac:dyDescent="0.3">
      <c r="B20" s="1" t="s">
        <v>12</v>
      </c>
      <c r="C20" s="8"/>
      <c r="D20" s="8"/>
      <c r="E20" s="8"/>
      <c r="F20" s="8"/>
      <c r="G20" s="8"/>
      <c r="H20" s="8"/>
      <c r="I20" s="8"/>
    </row>
    <row r="21" spans="2:9" x14ac:dyDescent="0.3">
      <c r="B21" s="2" t="s">
        <v>13</v>
      </c>
      <c r="C21" s="6">
        <v>-73.95</v>
      </c>
      <c r="D21" s="6">
        <v>-77.87</v>
      </c>
      <c r="E21" s="6">
        <v>-103.2</v>
      </c>
      <c r="F21" s="6">
        <v>-171.9</v>
      </c>
      <c r="G21" s="6">
        <v>-275.7</v>
      </c>
      <c r="H21" s="6">
        <v>-317.2</v>
      </c>
      <c r="I21" s="6">
        <v>-207</v>
      </c>
    </row>
    <row r="22" spans="2:9" x14ac:dyDescent="0.3">
      <c r="B22" s="2" t="s">
        <v>14</v>
      </c>
      <c r="C22" s="6">
        <v>5.82</v>
      </c>
      <c r="D22" s="6">
        <v>4.21</v>
      </c>
      <c r="E22" s="6">
        <v>-0.53</v>
      </c>
      <c r="F22" s="6">
        <v>14.48</v>
      </c>
      <c r="G22" s="6">
        <v>8.0299999999999994</v>
      </c>
      <c r="H22" s="6">
        <v>18.2</v>
      </c>
      <c r="I22" s="6">
        <v>8.01</v>
      </c>
    </row>
    <row r="23" spans="2:9" ht="16.2" thickBot="1" x14ac:dyDescent="0.35">
      <c r="B23" s="4" t="s">
        <v>15</v>
      </c>
      <c r="C23" s="7">
        <f>C21+C22</f>
        <v>-68.13</v>
      </c>
      <c r="D23" s="7">
        <f t="shared" ref="D23:I23" si="3">D21+D22</f>
        <v>-73.660000000000011</v>
      </c>
      <c r="E23" s="7">
        <f t="shared" si="3"/>
        <v>-103.73</v>
      </c>
      <c r="F23" s="7">
        <f t="shared" si="3"/>
        <v>-157.42000000000002</v>
      </c>
      <c r="G23" s="7">
        <f t="shared" si="3"/>
        <v>-267.67</v>
      </c>
      <c r="H23" s="7">
        <f t="shared" si="3"/>
        <v>-299</v>
      </c>
      <c r="I23" s="7">
        <f t="shared" si="3"/>
        <v>-198.99</v>
      </c>
    </row>
    <row r="24" spans="2:9" x14ac:dyDescent="0.3">
      <c r="B24" s="2"/>
      <c r="C24" s="8"/>
      <c r="D24" s="8"/>
      <c r="E24" s="8"/>
      <c r="F24" s="8"/>
      <c r="G24" s="8"/>
      <c r="H24" s="8"/>
      <c r="I24" s="8"/>
    </row>
    <row r="25" spans="2:9" ht="16.2" thickBot="1" x14ac:dyDescent="0.35">
      <c r="B25" s="4" t="s">
        <v>16</v>
      </c>
      <c r="C25" s="7">
        <f>C18+C23</f>
        <v>126.18999999999994</v>
      </c>
      <c r="D25" s="7">
        <f t="shared" ref="D25:I25" si="4">D18+D23</f>
        <v>-53.090000000000188</v>
      </c>
      <c r="E25" s="7">
        <f t="shared" si="4"/>
        <v>46.269999999999769</v>
      </c>
      <c r="F25" s="7">
        <f t="shared" si="4"/>
        <v>-205.21999999999997</v>
      </c>
      <c r="G25" s="7">
        <f t="shared" si="4"/>
        <v>380.5299999999998</v>
      </c>
      <c r="H25" s="7">
        <f t="shared" si="4"/>
        <v>1612</v>
      </c>
      <c r="I25" s="7">
        <f t="shared" si="4"/>
        <v>3952.91</v>
      </c>
    </row>
    <row r="26" spans="2:9" x14ac:dyDescent="0.3">
      <c r="B26" s="2" t="s">
        <v>17</v>
      </c>
      <c r="C26" s="6">
        <v>7.19</v>
      </c>
      <c r="D26" s="6">
        <v>-9.77</v>
      </c>
      <c r="E26" s="6">
        <v>10.97</v>
      </c>
      <c r="F26" s="6">
        <v>-12.23</v>
      </c>
      <c r="G26" s="6">
        <v>23.86</v>
      </c>
      <c r="H26" s="6">
        <v>22.42</v>
      </c>
      <c r="I26" s="6">
        <v>519.70000000000005</v>
      </c>
    </row>
    <row r="27" spans="2:9" ht="16.2" thickBot="1" x14ac:dyDescent="0.35">
      <c r="B27" s="4" t="s">
        <v>18</v>
      </c>
      <c r="C27" s="7">
        <f>C25-C26</f>
        <v>118.99999999999994</v>
      </c>
      <c r="D27" s="7">
        <f t="shared" ref="D27:I27" si="5">D25-D26</f>
        <v>-43.320000000000192</v>
      </c>
      <c r="E27" s="7">
        <f t="shared" si="5"/>
        <v>35.29999999999977</v>
      </c>
      <c r="F27" s="7">
        <f t="shared" si="5"/>
        <v>-192.98999999999998</v>
      </c>
      <c r="G27" s="7">
        <f t="shared" si="5"/>
        <v>356.66999999999979</v>
      </c>
      <c r="H27" s="7">
        <f t="shared" si="5"/>
        <v>1589.58</v>
      </c>
      <c r="I27" s="7">
        <f t="shared" si="5"/>
        <v>3433.21</v>
      </c>
    </row>
    <row r="28" spans="2:9" x14ac:dyDescent="0.3">
      <c r="B28" s="2" t="s">
        <v>19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-9.75</v>
      </c>
      <c r="I28" s="6">
        <v>-99.44</v>
      </c>
    </row>
    <row r="29" spans="2:9" ht="16.2" thickBot="1" x14ac:dyDescent="0.35">
      <c r="B29" s="4" t="s">
        <v>20</v>
      </c>
      <c r="C29" s="7">
        <f>C27+C28</f>
        <v>118.99999999999994</v>
      </c>
      <c r="D29" s="7">
        <f t="shared" ref="D29:I29" si="6">D27+D28</f>
        <v>-43.320000000000192</v>
      </c>
      <c r="E29" s="7">
        <f t="shared" si="6"/>
        <v>35.29999999999977</v>
      </c>
      <c r="F29" s="7">
        <f t="shared" si="6"/>
        <v>-192.98999999999998</v>
      </c>
      <c r="G29" s="7">
        <f t="shared" si="6"/>
        <v>356.66999999999979</v>
      </c>
      <c r="H29" s="7">
        <f t="shared" si="6"/>
        <v>1579.83</v>
      </c>
      <c r="I29" s="7">
        <f t="shared" si="6"/>
        <v>3333.77</v>
      </c>
    </row>
    <row r="30" spans="2:9" x14ac:dyDescent="0.3">
      <c r="B30" s="2" t="s">
        <v>21</v>
      </c>
      <c r="C30" s="6">
        <v>0</v>
      </c>
      <c r="D30" s="6">
        <v>-0.75</v>
      </c>
      <c r="E30" s="6">
        <v>-0.11</v>
      </c>
      <c r="F30" s="6">
        <v>-0.2</v>
      </c>
      <c r="G30" s="6">
        <v>0</v>
      </c>
      <c r="H30" s="6">
        <v>0</v>
      </c>
      <c r="I30" s="6">
        <v>0</v>
      </c>
    </row>
    <row r="31" spans="2:9" ht="16.2" thickBot="1" x14ac:dyDescent="0.35">
      <c r="B31" s="4" t="s">
        <v>22</v>
      </c>
      <c r="C31" s="7">
        <f>C29-C30</f>
        <v>118.99999999999994</v>
      </c>
      <c r="D31" s="7">
        <f t="shared" ref="D31:I31" si="7">D29-D30</f>
        <v>-42.570000000000192</v>
      </c>
      <c r="E31" s="7">
        <f t="shared" si="7"/>
        <v>35.409999999999769</v>
      </c>
      <c r="F31" s="7">
        <f t="shared" si="7"/>
        <v>-192.79</v>
      </c>
      <c r="G31" s="7">
        <f t="shared" si="7"/>
        <v>356.66999999999979</v>
      </c>
      <c r="H31" s="7">
        <f t="shared" si="7"/>
        <v>1579.83</v>
      </c>
      <c r="I31" s="7">
        <f t="shared" si="7"/>
        <v>3333.77</v>
      </c>
    </row>
    <row r="32" spans="2:9" x14ac:dyDescent="0.3">
      <c r="B32" s="2"/>
      <c r="C32" s="9"/>
      <c r="D32" s="9"/>
      <c r="E32" s="9"/>
      <c r="F32" s="9"/>
      <c r="G32" s="9"/>
      <c r="H32" s="9"/>
      <c r="I32" s="9"/>
    </row>
    <row r="33" spans="2:9" x14ac:dyDescent="0.3">
      <c r="B33" s="1" t="s">
        <v>23</v>
      </c>
      <c r="C33" s="9"/>
      <c r="D33" s="9"/>
      <c r="E33" s="9"/>
      <c r="F33" s="9"/>
      <c r="G33" s="9"/>
      <c r="H33" s="9"/>
      <c r="I33" s="9"/>
    </row>
    <row r="34" spans="2:9" x14ac:dyDescent="0.3">
      <c r="B34" s="2" t="s">
        <v>24</v>
      </c>
      <c r="C34" s="10">
        <v>0.21</v>
      </c>
      <c r="D34" s="10">
        <v>-0.35</v>
      </c>
      <c r="E34" s="10">
        <v>0.1</v>
      </c>
      <c r="F34" s="10">
        <v>-0.52</v>
      </c>
      <c r="G34" s="10">
        <v>1.01</v>
      </c>
      <c r="H34" s="10">
        <v>4.68</v>
      </c>
      <c r="I34" s="10">
        <v>9.84</v>
      </c>
    </row>
    <row r="35" spans="2:9" x14ac:dyDescent="0.3">
      <c r="B35" s="2" t="s">
        <v>25</v>
      </c>
      <c r="C35" s="10">
        <v>0.21</v>
      </c>
      <c r="D35" s="10">
        <v>-0.35</v>
      </c>
      <c r="E35" s="10">
        <v>0.09</v>
      </c>
      <c r="F35" s="10">
        <v>-0.52</v>
      </c>
      <c r="G35" s="10">
        <v>0.98</v>
      </c>
      <c r="H35" s="10">
        <v>4.5599999999999996</v>
      </c>
      <c r="I35" s="10">
        <v>9.75</v>
      </c>
    </row>
    <row r="36" spans="2:9" x14ac:dyDescent="0.3">
      <c r="B36" s="2"/>
      <c r="C36" s="9"/>
      <c r="D36" s="9"/>
      <c r="E36" s="9"/>
      <c r="F36" s="9"/>
      <c r="G36" s="9"/>
      <c r="H36" s="9"/>
      <c r="I36" s="9"/>
    </row>
    <row r="37" spans="2:9" x14ac:dyDescent="0.3">
      <c r="B37" s="1" t="s">
        <v>26</v>
      </c>
      <c r="C37" s="9"/>
      <c r="D37" s="9"/>
      <c r="E37" s="9"/>
      <c r="F37" s="9"/>
      <c r="G37" s="9"/>
      <c r="H37" s="9"/>
      <c r="I37" s="9"/>
    </row>
    <row r="38" spans="2:9" x14ac:dyDescent="0.3">
      <c r="B38" s="2" t="s">
        <v>27</v>
      </c>
      <c r="C38" s="11">
        <v>358</v>
      </c>
      <c r="D38" s="11">
        <v>358</v>
      </c>
      <c r="E38" s="11">
        <v>324.8</v>
      </c>
      <c r="F38" s="11">
        <v>371.6</v>
      </c>
      <c r="G38" s="11">
        <v>352</v>
      </c>
      <c r="H38" s="11">
        <v>336.9</v>
      </c>
      <c r="I38" s="11">
        <v>338.8</v>
      </c>
    </row>
    <row r="39" spans="2:9" x14ac:dyDescent="0.3">
      <c r="B39" s="2" t="s">
        <v>28</v>
      </c>
      <c r="C39" s="11">
        <v>358</v>
      </c>
      <c r="D39" s="11">
        <v>358</v>
      </c>
      <c r="E39" s="11">
        <v>342.8</v>
      </c>
      <c r="F39" s="11">
        <v>371.6</v>
      </c>
      <c r="G39" s="11">
        <v>362.6</v>
      </c>
      <c r="H39" s="11">
        <v>347.8</v>
      </c>
      <c r="I39" s="11">
        <v>342</v>
      </c>
    </row>
    <row r="40" spans="2:9" x14ac:dyDescent="0.3">
      <c r="B40" s="2"/>
      <c r="C40" s="9"/>
      <c r="D40" s="9"/>
      <c r="E40" s="9"/>
      <c r="F40" s="9"/>
      <c r="G40" s="9"/>
      <c r="H40" s="9"/>
      <c r="I40" s="9"/>
    </row>
    <row r="41" spans="2:9" x14ac:dyDescent="0.3">
      <c r="B41" s="1" t="s">
        <v>29</v>
      </c>
      <c r="C41" s="9"/>
      <c r="D41" s="9"/>
      <c r="E41" s="9"/>
      <c r="F41" s="9"/>
      <c r="G41" s="9"/>
      <c r="H41" s="9"/>
      <c r="I41" s="9"/>
    </row>
    <row r="42" spans="2:9" x14ac:dyDescent="0.3">
      <c r="B42" s="2" t="s">
        <v>30</v>
      </c>
      <c r="C42" s="6">
        <v>92.81</v>
      </c>
      <c r="D42" s="6">
        <v>255</v>
      </c>
      <c r="E42" s="6">
        <v>431.1</v>
      </c>
      <c r="F42" s="6">
        <v>547.1</v>
      </c>
      <c r="G42" s="6">
        <v>489</v>
      </c>
      <c r="H42" s="6">
        <v>448.7</v>
      </c>
      <c r="I42" s="6">
        <v>194.8</v>
      </c>
    </row>
    <row r="43" spans="2:9" x14ac:dyDescent="0.3">
      <c r="B43" s="2" t="s">
        <v>31</v>
      </c>
      <c r="C43" s="6">
        <v>10.220000000000001</v>
      </c>
      <c r="D43" s="6">
        <v>62.39</v>
      </c>
      <c r="E43" s="6">
        <v>133.19999999999999</v>
      </c>
      <c r="F43" s="6">
        <v>191.6</v>
      </c>
      <c r="G43" s="6">
        <v>363.1</v>
      </c>
      <c r="H43" s="6">
        <v>369.4</v>
      </c>
      <c r="I43" s="6">
        <v>210.4</v>
      </c>
    </row>
    <row r="44" spans="2:9" ht="16.2" thickBot="1" x14ac:dyDescent="0.35">
      <c r="B44" s="4" t="s">
        <v>32</v>
      </c>
      <c r="C44" s="5">
        <v>301.2</v>
      </c>
      <c r="D44" s="5">
        <v>345.5</v>
      </c>
      <c r="E44" s="5">
        <v>726.8</v>
      </c>
      <c r="F44" s="5">
        <v>1063.2</v>
      </c>
      <c r="G44" s="5">
        <v>1502.7</v>
      </c>
      <c r="H44" s="5">
        <v>2411.8000000000002</v>
      </c>
      <c r="I44" s="5">
        <v>4512.5</v>
      </c>
    </row>
  </sheetData>
  <mergeCells count="1"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649D4-0C72-424C-AF62-F2FC33ADC866}">
  <dimension ref="B2:I57"/>
  <sheetViews>
    <sheetView showGridLines="0" workbookViewId="0"/>
  </sheetViews>
  <sheetFormatPr defaultRowHeight="15.6" x14ac:dyDescent="0.3"/>
  <cols>
    <col min="1" max="1" width="1.88671875" customWidth="1"/>
    <col min="2" max="2" width="46.33203125" customWidth="1"/>
    <col min="3" max="9" width="15.77734375" customWidth="1"/>
  </cols>
  <sheetData>
    <row r="2" spans="2:9" ht="17.399999999999999" x14ac:dyDescent="0.35">
      <c r="B2" s="12" t="s">
        <v>0</v>
      </c>
      <c r="C2" s="2"/>
      <c r="D2" s="2"/>
      <c r="E2" s="2"/>
      <c r="F2" s="2"/>
      <c r="G2" s="2"/>
      <c r="H2" s="2"/>
      <c r="I2" s="2"/>
    </row>
    <row r="3" spans="2:9" x14ac:dyDescent="0.3">
      <c r="B3" s="1" t="s">
        <v>33</v>
      </c>
      <c r="C3" s="2"/>
      <c r="D3" s="2"/>
      <c r="E3" s="2"/>
      <c r="F3" s="2"/>
      <c r="G3" s="2"/>
      <c r="H3" s="2"/>
      <c r="I3" s="2"/>
    </row>
    <row r="4" spans="2:9" x14ac:dyDescent="0.3">
      <c r="B4" s="3" t="s">
        <v>2</v>
      </c>
      <c r="C4" s="2"/>
      <c r="D4" s="2"/>
      <c r="E4" s="2"/>
      <c r="F4" s="2"/>
      <c r="G4" s="2"/>
      <c r="H4" s="2"/>
      <c r="I4" s="2"/>
    </row>
    <row r="5" spans="2:9" x14ac:dyDescent="0.3">
      <c r="B5" s="2"/>
      <c r="C5" s="2"/>
      <c r="D5" s="2"/>
      <c r="E5" s="2"/>
      <c r="F5" s="2"/>
      <c r="G5" s="2"/>
      <c r="H5" s="2"/>
      <c r="I5" s="2"/>
    </row>
    <row r="6" spans="2:9" x14ac:dyDescent="0.3">
      <c r="B6" s="2"/>
      <c r="C6" s="225" t="s">
        <v>117</v>
      </c>
      <c r="D6" s="225"/>
      <c r="E6" s="225"/>
      <c r="F6" s="225"/>
      <c r="G6" s="225"/>
      <c r="H6" s="225"/>
      <c r="I6" s="225"/>
    </row>
    <row r="7" spans="2:9" x14ac:dyDescent="0.3">
      <c r="B7" s="216"/>
      <c r="C7" s="216">
        <v>2019</v>
      </c>
      <c r="D7" s="216">
        <v>2020</v>
      </c>
      <c r="E7" s="216">
        <v>2021</v>
      </c>
      <c r="F7" s="216">
        <v>2022</v>
      </c>
      <c r="G7" s="216">
        <v>2023</v>
      </c>
      <c r="H7" s="216">
        <v>2024</v>
      </c>
      <c r="I7" s="216">
        <v>2025</v>
      </c>
    </row>
    <row r="8" spans="2:9" x14ac:dyDescent="0.3">
      <c r="B8" s="1" t="s">
        <v>34</v>
      </c>
      <c r="C8" s="9"/>
      <c r="D8" s="9"/>
      <c r="E8" s="9"/>
      <c r="F8" s="9"/>
      <c r="G8" s="9"/>
      <c r="H8" s="9"/>
      <c r="I8" s="9"/>
    </row>
    <row r="9" spans="2:9" x14ac:dyDescent="0.3">
      <c r="B9" s="1" t="s">
        <v>35</v>
      </c>
      <c r="C9" s="9"/>
      <c r="D9" s="9"/>
      <c r="E9" s="9"/>
      <c r="F9" s="9"/>
      <c r="G9" s="9"/>
      <c r="H9" s="9"/>
      <c r="I9" s="9"/>
    </row>
    <row r="10" spans="2:9" x14ac:dyDescent="0.3">
      <c r="B10" s="2" t="s">
        <v>36</v>
      </c>
      <c r="C10" s="6">
        <v>396.3</v>
      </c>
      <c r="D10" s="6">
        <v>317.2</v>
      </c>
      <c r="E10" s="6">
        <v>1520.5</v>
      </c>
      <c r="F10" s="6">
        <v>1080.5</v>
      </c>
      <c r="G10" s="6">
        <v>502.2</v>
      </c>
      <c r="H10" s="6">
        <v>741.4</v>
      </c>
      <c r="I10" s="6">
        <v>2487.1</v>
      </c>
    </row>
    <row r="11" spans="2:9" x14ac:dyDescent="0.3">
      <c r="B11" s="2" t="s">
        <v>37</v>
      </c>
      <c r="C11" s="6">
        <v>161.4</v>
      </c>
      <c r="D11" s="6">
        <v>297</v>
      </c>
      <c r="E11" s="6">
        <v>514.5</v>
      </c>
      <c r="F11" s="6">
        <v>702.8</v>
      </c>
      <c r="G11" s="6">
        <v>953.8</v>
      </c>
      <c r="H11" s="6">
        <v>1414.3</v>
      </c>
      <c r="I11" s="6">
        <v>1819.4</v>
      </c>
    </row>
    <row r="12" spans="2:9" x14ac:dyDescent="0.3">
      <c r="B12" s="2" t="s">
        <v>38</v>
      </c>
      <c r="C12" s="6">
        <v>28.63</v>
      </c>
      <c r="D12" s="6">
        <v>48.8</v>
      </c>
      <c r="E12" s="6">
        <v>150</v>
      </c>
      <c r="F12" s="6">
        <v>155.80000000000001</v>
      </c>
      <c r="G12" s="6">
        <v>160.19999999999999</v>
      </c>
      <c r="H12" s="6">
        <v>156.5</v>
      </c>
      <c r="I12" s="6">
        <v>124.3</v>
      </c>
    </row>
    <row r="13" spans="2:9" x14ac:dyDescent="0.3">
      <c r="B13" s="17" t="s">
        <v>118</v>
      </c>
      <c r="C13" s="6">
        <v>-0.13</v>
      </c>
      <c r="D13" s="6">
        <v>0</v>
      </c>
      <c r="E13" s="6">
        <v>1050.0999999999999</v>
      </c>
      <c r="F13" s="6">
        <v>0</v>
      </c>
      <c r="G13" s="6">
        <v>0</v>
      </c>
      <c r="H13" s="6">
        <v>0</v>
      </c>
      <c r="I13" s="6">
        <v>0</v>
      </c>
    </row>
    <row r="14" spans="2:9" ht="16.2" thickBot="1" x14ac:dyDescent="0.35">
      <c r="B14" s="4" t="s">
        <v>39</v>
      </c>
      <c r="C14" s="7">
        <f>SUM(C10:C13)</f>
        <v>586.20000000000005</v>
      </c>
      <c r="D14" s="7">
        <f t="shared" ref="D14:I14" si="0">SUM(D10:D13)</f>
        <v>663</v>
      </c>
      <c r="E14" s="7">
        <f t="shared" si="0"/>
        <v>3235.1</v>
      </c>
      <c r="F14" s="7">
        <f t="shared" si="0"/>
        <v>1939.1</v>
      </c>
      <c r="G14" s="7">
        <f t="shared" si="0"/>
        <v>1616.2</v>
      </c>
      <c r="H14" s="7">
        <f t="shared" si="0"/>
        <v>2312.1999999999998</v>
      </c>
      <c r="I14" s="7">
        <f t="shared" si="0"/>
        <v>4430.8</v>
      </c>
    </row>
    <row r="15" spans="2:9" x14ac:dyDescent="0.3">
      <c r="B15" s="2"/>
      <c r="C15" s="8"/>
      <c r="D15" s="8"/>
      <c r="E15" s="8"/>
      <c r="F15" s="8"/>
      <c r="G15" s="8"/>
      <c r="H15" s="8"/>
      <c r="I15" s="8"/>
    </row>
    <row r="16" spans="2:9" x14ac:dyDescent="0.3">
      <c r="B16" s="1" t="s">
        <v>40</v>
      </c>
      <c r="C16" s="8"/>
      <c r="D16" s="8"/>
      <c r="E16" s="8"/>
      <c r="F16" s="8"/>
      <c r="G16" s="8"/>
      <c r="H16" s="8"/>
      <c r="I16" s="8"/>
    </row>
    <row r="17" spans="2:9" x14ac:dyDescent="0.3">
      <c r="B17" s="2" t="s">
        <v>41</v>
      </c>
      <c r="C17" s="6">
        <v>7.9</v>
      </c>
      <c r="D17" s="6">
        <v>28.59</v>
      </c>
      <c r="E17" s="6">
        <v>63.61</v>
      </c>
      <c r="F17" s="6">
        <v>78.540000000000006</v>
      </c>
      <c r="G17" s="6">
        <v>173.3</v>
      </c>
      <c r="H17" s="6">
        <v>160.5</v>
      </c>
      <c r="I17" s="6">
        <v>122.5</v>
      </c>
    </row>
    <row r="18" spans="2:9" x14ac:dyDescent="0.3">
      <c r="B18" s="2" t="s">
        <v>42</v>
      </c>
      <c r="C18" s="6">
        <v>14.9</v>
      </c>
      <c r="D18" s="6">
        <v>84.34</v>
      </c>
      <c r="E18" s="6">
        <v>70.97</v>
      </c>
      <c r="F18" s="6">
        <v>60.38</v>
      </c>
      <c r="G18" s="6">
        <v>48.21</v>
      </c>
      <c r="H18" s="6">
        <v>38.07</v>
      </c>
      <c r="I18" s="6">
        <v>25.46</v>
      </c>
    </row>
    <row r="19" spans="2:9" x14ac:dyDescent="0.3">
      <c r="B19" s="2" t="s">
        <v>43</v>
      </c>
      <c r="C19" s="6">
        <v>137.1</v>
      </c>
      <c r="D19" s="6">
        <v>249.8</v>
      </c>
      <c r="E19" s="6">
        <v>966.4</v>
      </c>
      <c r="F19" s="6">
        <v>1823.8</v>
      </c>
      <c r="G19" s="6">
        <v>1842.9</v>
      </c>
      <c r="H19" s="6">
        <v>1803.4</v>
      </c>
      <c r="I19" s="6">
        <v>1540</v>
      </c>
    </row>
    <row r="20" spans="2:9" x14ac:dyDescent="0.3">
      <c r="B20" s="2" t="s">
        <v>44</v>
      </c>
      <c r="C20" s="6">
        <v>440.9</v>
      </c>
      <c r="D20" s="6">
        <v>1086.3</v>
      </c>
      <c r="E20" s="6">
        <v>1709.4</v>
      </c>
      <c r="F20" s="6">
        <v>1677.7</v>
      </c>
      <c r="G20" s="6">
        <v>1292.5999999999999</v>
      </c>
      <c r="H20" s="6">
        <v>896.7</v>
      </c>
      <c r="I20" s="6">
        <v>396.7</v>
      </c>
    </row>
    <row r="21" spans="2:9" x14ac:dyDescent="0.3">
      <c r="B21" s="2" t="s">
        <v>45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287.7</v>
      </c>
    </row>
    <row r="22" spans="2:9" x14ac:dyDescent="0.3">
      <c r="B22" s="2" t="s">
        <v>46</v>
      </c>
      <c r="C22" s="6">
        <v>15.5</v>
      </c>
      <c r="D22" s="6">
        <v>42.57</v>
      </c>
      <c r="E22" s="6">
        <v>118.12</v>
      </c>
      <c r="F22" s="6">
        <v>268.38</v>
      </c>
      <c r="G22" s="6">
        <v>385.99</v>
      </c>
      <c r="H22" s="6">
        <v>658.43</v>
      </c>
      <c r="I22" s="6">
        <v>456.44</v>
      </c>
    </row>
    <row r="23" spans="2:9" ht="16.2" thickBot="1" x14ac:dyDescent="0.35">
      <c r="B23" s="4" t="s">
        <v>47</v>
      </c>
      <c r="C23" s="7">
        <f>SUM(C17:C22)</f>
        <v>616.29999999999995</v>
      </c>
      <c r="D23" s="7">
        <f t="shared" ref="D23:I23" si="1">SUM(D17:D22)</f>
        <v>1491.6</v>
      </c>
      <c r="E23" s="7">
        <f t="shared" si="1"/>
        <v>2928.5</v>
      </c>
      <c r="F23" s="7">
        <f t="shared" si="1"/>
        <v>3908.8</v>
      </c>
      <c r="G23" s="7">
        <f t="shared" si="1"/>
        <v>3743</v>
      </c>
      <c r="H23" s="7">
        <f t="shared" si="1"/>
        <v>3557.1</v>
      </c>
      <c r="I23" s="7">
        <f t="shared" si="1"/>
        <v>2828.7999999999997</v>
      </c>
    </row>
    <row r="24" spans="2:9" x14ac:dyDescent="0.3">
      <c r="B24" s="2"/>
      <c r="C24" s="8"/>
      <c r="D24" s="8"/>
      <c r="E24" s="8"/>
      <c r="F24" s="8"/>
      <c r="G24" s="8"/>
      <c r="H24" s="8"/>
      <c r="I24" s="8"/>
    </row>
    <row r="25" spans="2:9" ht="16.2" thickBot="1" x14ac:dyDescent="0.35">
      <c r="B25" s="4" t="s">
        <v>48</v>
      </c>
      <c r="C25" s="7">
        <f>C14+C23</f>
        <v>1202.5</v>
      </c>
      <c r="D25" s="7">
        <f t="shared" ref="D25:I25" si="2">D14+D23</f>
        <v>2154.6</v>
      </c>
      <c r="E25" s="7">
        <f t="shared" si="2"/>
        <v>6163.6</v>
      </c>
      <c r="F25" s="7">
        <f t="shared" si="2"/>
        <v>5847.9</v>
      </c>
      <c r="G25" s="7">
        <f t="shared" si="2"/>
        <v>5359.2</v>
      </c>
      <c r="H25" s="7">
        <f t="shared" si="2"/>
        <v>5869.2999999999993</v>
      </c>
      <c r="I25" s="7">
        <f t="shared" si="2"/>
        <v>7259.6</v>
      </c>
    </row>
    <row r="26" spans="2:9" x14ac:dyDescent="0.3">
      <c r="B26" s="2"/>
      <c r="C26" s="8"/>
      <c r="D26" s="8"/>
      <c r="E26" s="8"/>
      <c r="F26" s="8"/>
      <c r="G26" s="8"/>
      <c r="H26" s="8"/>
      <c r="I26" s="8"/>
    </row>
    <row r="27" spans="2:9" x14ac:dyDescent="0.3">
      <c r="B27" s="1" t="s">
        <v>49</v>
      </c>
      <c r="C27" s="8"/>
      <c r="D27" s="8"/>
      <c r="E27" s="8"/>
      <c r="F27" s="8"/>
      <c r="G27" s="8"/>
      <c r="H27" s="8"/>
      <c r="I27" s="8"/>
    </row>
    <row r="28" spans="2:9" x14ac:dyDescent="0.3">
      <c r="B28" s="1" t="s">
        <v>50</v>
      </c>
      <c r="C28" s="8"/>
      <c r="D28" s="8"/>
      <c r="E28" s="8"/>
      <c r="F28" s="8"/>
      <c r="G28" s="8"/>
      <c r="H28" s="8"/>
      <c r="I28" s="8"/>
    </row>
    <row r="29" spans="2:9" x14ac:dyDescent="0.3">
      <c r="B29" s="2" t="s">
        <v>51</v>
      </c>
      <c r="C29" s="6">
        <v>70.52</v>
      </c>
      <c r="D29" s="6">
        <v>147.30000000000001</v>
      </c>
      <c r="E29" s="6">
        <v>258.2</v>
      </c>
      <c r="F29" s="6">
        <v>273.2</v>
      </c>
      <c r="G29" s="6">
        <v>371.7</v>
      </c>
      <c r="H29" s="6">
        <v>563.4</v>
      </c>
      <c r="I29" s="6">
        <v>747</v>
      </c>
    </row>
    <row r="30" spans="2:9" x14ac:dyDescent="0.3">
      <c r="B30" s="2" t="s">
        <v>52</v>
      </c>
      <c r="C30" s="6">
        <v>37.299999999999997</v>
      </c>
      <c r="D30" s="6">
        <v>95.06</v>
      </c>
      <c r="E30" s="6">
        <v>133.80000000000001</v>
      </c>
      <c r="F30" s="6">
        <v>147.80000000000001</v>
      </c>
      <c r="G30" s="6">
        <v>252.2</v>
      </c>
      <c r="H30" s="6">
        <v>409.4</v>
      </c>
      <c r="I30" s="6">
        <v>572.9</v>
      </c>
    </row>
    <row r="31" spans="2:9" x14ac:dyDescent="0.3">
      <c r="B31" s="2" t="s">
        <v>53</v>
      </c>
      <c r="C31" s="6">
        <v>8.1999999999999993</v>
      </c>
      <c r="D31" s="6">
        <v>86.89</v>
      </c>
      <c r="E31" s="6">
        <v>78.930000000000007</v>
      </c>
      <c r="F31" s="6">
        <v>64.02</v>
      </c>
      <c r="G31" s="6">
        <v>78.56</v>
      </c>
      <c r="H31" s="6">
        <v>69.84</v>
      </c>
      <c r="I31" s="6">
        <v>0</v>
      </c>
    </row>
    <row r="32" spans="2:9" x14ac:dyDescent="0.3">
      <c r="B32" s="2" t="s">
        <v>54</v>
      </c>
      <c r="C32" s="6">
        <v>12.21</v>
      </c>
      <c r="D32" s="6">
        <v>15.21</v>
      </c>
      <c r="E32" s="6">
        <v>25.81</v>
      </c>
      <c r="F32" s="6">
        <v>33.31</v>
      </c>
      <c r="G32" s="6">
        <v>215</v>
      </c>
      <c r="H32" s="6">
        <v>0</v>
      </c>
      <c r="I32" s="6">
        <v>0</v>
      </c>
    </row>
    <row r="33" spans="2:9" x14ac:dyDescent="0.3">
      <c r="B33" s="2" t="s">
        <v>55</v>
      </c>
      <c r="C33" s="6">
        <v>2.5099999999999998</v>
      </c>
      <c r="D33" s="6">
        <v>22.21</v>
      </c>
      <c r="E33" s="6">
        <v>18.39</v>
      </c>
      <c r="F33" s="6">
        <v>14.33</v>
      </c>
      <c r="G33" s="6">
        <v>13.61</v>
      </c>
      <c r="H33" s="6">
        <v>14.81</v>
      </c>
      <c r="I33" s="6">
        <v>13.94</v>
      </c>
    </row>
    <row r="34" spans="2:9" x14ac:dyDescent="0.3">
      <c r="B34" s="2" t="s">
        <v>56</v>
      </c>
      <c r="C34" s="6">
        <v>108.1</v>
      </c>
      <c r="D34" s="6">
        <v>212.7</v>
      </c>
      <c r="E34" s="6">
        <v>107.6</v>
      </c>
      <c r="F34" s="6">
        <v>31.05</v>
      </c>
      <c r="G34" s="6">
        <v>0</v>
      </c>
      <c r="H34" s="6">
        <v>0</v>
      </c>
      <c r="I34" s="6">
        <v>0</v>
      </c>
    </row>
    <row r="35" spans="2:9" x14ac:dyDescent="0.3">
      <c r="B35" s="17" t="s">
        <v>119</v>
      </c>
      <c r="C35" s="6">
        <v>0.06</v>
      </c>
      <c r="D35" s="6">
        <v>18.73</v>
      </c>
      <c r="E35" s="6">
        <v>17.37</v>
      </c>
      <c r="F35" s="6">
        <v>15.29</v>
      </c>
      <c r="G35" s="6">
        <v>13.03</v>
      </c>
      <c r="H35" s="6">
        <v>0.05</v>
      </c>
      <c r="I35" s="6">
        <v>-0.04</v>
      </c>
    </row>
    <row r="36" spans="2:9" ht="16.2" thickBot="1" x14ac:dyDescent="0.35">
      <c r="B36" s="4" t="s">
        <v>57</v>
      </c>
      <c r="C36" s="7">
        <f>SUM(C29:C35)</f>
        <v>238.89999999999998</v>
      </c>
      <c r="D36" s="7">
        <f t="shared" ref="D36:I36" si="3">SUM(D29:D35)</f>
        <v>598.09999999999991</v>
      </c>
      <c r="E36" s="7">
        <f t="shared" si="3"/>
        <v>640.1</v>
      </c>
      <c r="F36" s="7">
        <f t="shared" si="3"/>
        <v>578.99999999999989</v>
      </c>
      <c r="G36" s="7">
        <f t="shared" si="3"/>
        <v>944.1</v>
      </c>
      <c r="H36" s="7">
        <f t="shared" si="3"/>
        <v>1057.4999999999998</v>
      </c>
      <c r="I36" s="7">
        <f t="shared" si="3"/>
        <v>1333.8000000000002</v>
      </c>
    </row>
    <row r="37" spans="2:9" x14ac:dyDescent="0.3">
      <c r="B37" s="2"/>
      <c r="C37" s="8"/>
      <c r="D37" s="8"/>
      <c r="E37" s="8"/>
      <c r="F37" s="8"/>
      <c r="G37" s="8"/>
      <c r="H37" s="8"/>
      <c r="I37" s="8"/>
    </row>
    <row r="38" spans="2:9" x14ac:dyDescent="0.3">
      <c r="B38" s="1" t="s">
        <v>58</v>
      </c>
      <c r="C38" s="8"/>
      <c r="D38" s="8"/>
      <c r="E38" s="8"/>
      <c r="F38" s="8"/>
      <c r="G38" s="8"/>
      <c r="H38" s="8"/>
      <c r="I38" s="8"/>
    </row>
    <row r="39" spans="2:9" x14ac:dyDescent="0.3">
      <c r="B39" s="2" t="s">
        <v>59</v>
      </c>
      <c r="C39" s="6">
        <v>1168.4000000000001</v>
      </c>
      <c r="D39" s="6">
        <v>1584</v>
      </c>
      <c r="E39" s="6">
        <v>3201.8</v>
      </c>
      <c r="F39" s="6">
        <v>3178.4</v>
      </c>
      <c r="G39" s="6">
        <v>2905.9</v>
      </c>
      <c r="H39" s="6">
        <v>3509</v>
      </c>
      <c r="I39" s="6">
        <v>3513</v>
      </c>
    </row>
    <row r="40" spans="2:9" x14ac:dyDescent="0.3">
      <c r="B40" s="2" t="s">
        <v>60</v>
      </c>
      <c r="C40" s="6">
        <v>12.75</v>
      </c>
      <c r="D40" s="6">
        <v>71.760000000000005</v>
      </c>
      <c r="E40" s="6">
        <v>62.5</v>
      </c>
      <c r="F40" s="6">
        <v>54.15</v>
      </c>
      <c r="G40" s="6">
        <v>42.91</v>
      </c>
      <c r="H40" s="6">
        <v>32.61</v>
      </c>
      <c r="I40" s="6">
        <v>17.809999999999999</v>
      </c>
    </row>
    <row r="41" spans="2:9" x14ac:dyDescent="0.3">
      <c r="B41" s="2" t="s">
        <v>61</v>
      </c>
      <c r="C41" s="6">
        <v>39.049999999999997</v>
      </c>
      <c r="D41" s="6">
        <v>59.04</v>
      </c>
      <c r="E41" s="6">
        <v>120.9</v>
      </c>
      <c r="F41" s="6">
        <v>133.65</v>
      </c>
      <c r="G41" s="6">
        <v>209.89</v>
      </c>
      <c r="H41" s="6">
        <v>180.39</v>
      </c>
      <c r="I41" s="6">
        <v>260.39</v>
      </c>
    </row>
    <row r="42" spans="2:9" ht="16.2" thickBot="1" x14ac:dyDescent="0.35">
      <c r="B42" s="4" t="s">
        <v>62</v>
      </c>
      <c r="C42" s="7">
        <f>SUM(C39:C41)</f>
        <v>1220.2</v>
      </c>
      <c r="D42" s="7">
        <f t="shared" ref="D42:I42" si="4">SUM(D39:D41)</f>
        <v>1714.8</v>
      </c>
      <c r="E42" s="7">
        <f t="shared" si="4"/>
        <v>3385.2000000000003</v>
      </c>
      <c r="F42" s="7">
        <f t="shared" si="4"/>
        <v>3366.2000000000003</v>
      </c>
      <c r="G42" s="7">
        <f t="shared" si="4"/>
        <v>3158.7</v>
      </c>
      <c r="H42" s="7">
        <f t="shared" si="4"/>
        <v>3722</v>
      </c>
      <c r="I42" s="7">
        <f t="shared" si="4"/>
        <v>3791.2</v>
      </c>
    </row>
    <row r="43" spans="2:9" x14ac:dyDescent="0.3">
      <c r="B43" s="2"/>
      <c r="C43" s="8"/>
      <c r="D43" s="8"/>
      <c r="E43" s="8"/>
      <c r="F43" s="8"/>
      <c r="G43" s="8"/>
      <c r="H43" s="8"/>
      <c r="I43" s="8"/>
    </row>
    <row r="44" spans="2:9" ht="16.2" thickBot="1" x14ac:dyDescent="0.35">
      <c r="B44" s="4" t="s">
        <v>63</v>
      </c>
      <c r="C44" s="7">
        <f>C36+C42</f>
        <v>1459.1</v>
      </c>
      <c r="D44" s="7">
        <f t="shared" ref="D44:I44" si="5">D36+D42</f>
        <v>2312.8999999999996</v>
      </c>
      <c r="E44" s="7">
        <f t="shared" si="5"/>
        <v>4025.3</v>
      </c>
      <c r="F44" s="7">
        <f t="shared" si="5"/>
        <v>3945.2000000000003</v>
      </c>
      <c r="G44" s="7">
        <f t="shared" si="5"/>
        <v>4102.8</v>
      </c>
      <c r="H44" s="7">
        <f t="shared" si="5"/>
        <v>4779.5</v>
      </c>
      <c r="I44" s="7">
        <f t="shared" si="5"/>
        <v>5125</v>
      </c>
    </row>
    <row r="45" spans="2:9" x14ac:dyDescent="0.3">
      <c r="B45" s="2"/>
      <c r="C45" s="8"/>
      <c r="D45" s="8"/>
      <c r="E45" s="8"/>
      <c r="F45" s="8"/>
      <c r="G45" s="8"/>
      <c r="H45" s="8"/>
      <c r="I45" s="8"/>
    </row>
    <row r="46" spans="2:9" x14ac:dyDescent="0.3">
      <c r="B46" s="1" t="s">
        <v>64</v>
      </c>
      <c r="C46" s="8"/>
      <c r="D46" s="8"/>
      <c r="E46" s="8"/>
      <c r="F46" s="8"/>
      <c r="G46" s="8"/>
      <c r="H46" s="8"/>
      <c r="I46" s="8"/>
    </row>
    <row r="47" spans="2:9" x14ac:dyDescent="0.3">
      <c r="B47" s="2" t="s">
        <v>65</v>
      </c>
      <c r="C47" s="6">
        <v>0.01</v>
      </c>
      <c r="D47" s="6">
        <v>0.01</v>
      </c>
      <c r="E47" s="6">
        <v>0.01</v>
      </c>
      <c r="F47" s="6">
        <v>0.01</v>
      </c>
      <c r="G47" s="6">
        <v>0.01</v>
      </c>
      <c r="H47" s="6">
        <v>0.01</v>
      </c>
      <c r="I47" s="6">
        <v>0.01</v>
      </c>
    </row>
    <row r="48" spans="2:9" x14ac:dyDescent="0.3">
      <c r="B48" s="2" t="s">
        <v>66</v>
      </c>
      <c r="C48" s="6">
        <v>235.2</v>
      </c>
      <c r="D48" s="6">
        <v>453.7</v>
      </c>
      <c r="E48" s="6">
        <v>3160.5</v>
      </c>
      <c r="F48" s="6">
        <v>3155.8</v>
      </c>
      <c r="G48" s="6">
        <v>2134.6</v>
      </c>
      <c r="H48" s="6">
        <v>593.70000000000005</v>
      </c>
      <c r="I48" s="6">
        <v>446.6</v>
      </c>
    </row>
    <row r="49" spans="2:9" x14ac:dyDescent="0.3">
      <c r="B49" s="2" t="s">
        <v>67</v>
      </c>
      <c r="C49" s="6">
        <v>-4.1399999999999997</v>
      </c>
      <c r="D49" s="6">
        <v>0.6</v>
      </c>
      <c r="E49" s="6">
        <v>-45.45</v>
      </c>
      <c r="F49" s="6">
        <v>-83.38</v>
      </c>
      <c r="G49" s="6">
        <v>-65.27</v>
      </c>
      <c r="H49" s="6">
        <v>-103.1</v>
      </c>
      <c r="I49" s="6">
        <v>-46.99</v>
      </c>
    </row>
    <row r="50" spans="2:9" x14ac:dyDescent="0.3">
      <c r="B50" s="2" t="s">
        <v>68</v>
      </c>
      <c r="C50" s="6">
        <v>-887.2</v>
      </c>
      <c r="D50" s="6">
        <v>-1012.4</v>
      </c>
      <c r="E50" s="6">
        <v>-977</v>
      </c>
      <c r="F50" s="6">
        <v>-1169.7</v>
      </c>
      <c r="G50" s="6">
        <v>-813</v>
      </c>
      <c r="H50" s="6">
        <v>599.20000000000005</v>
      </c>
      <c r="I50" s="6">
        <v>1735.1</v>
      </c>
    </row>
    <row r="51" spans="2:9" x14ac:dyDescent="0.3">
      <c r="B51" s="20" t="s">
        <v>120</v>
      </c>
      <c r="C51" s="21">
        <v>399.6</v>
      </c>
      <c r="D51" s="21">
        <v>399.6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</row>
    <row r="52" spans="2:9" ht="16.2" thickBot="1" x14ac:dyDescent="0.35">
      <c r="B52" s="18" t="s">
        <v>69</v>
      </c>
      <c r="C52" s="19">
        <f>SUM(C47:C51)</f>
        <v>-256.53000000000009</v>
      </c>
      <c r="D52" s="19">
        <f t="shared" ref="D52:I52" si="6">SUM(D47:D51)</f>
        <v>-158.4899999999999</v>
      </c>
      <c r="E52" s="19">
        <f t="shared" si="6"/>
        <v>2138.0600000000004</v>
      </c>
      <c r="F52" s="19">
        <f t="shared" si="6"/>
        <v>1902.7300000000002</v>
      </c>
      <c r="G52" s="19">
        <f t="shared" si="6"/>
        <v>1256.3400000000001</v>
      </c>
      <c r="H52" s="19">
        <f t="shared" si="6"/>
        <v>1089.81</v>
      </c>
      <c r="I52" s="19">
        <f t="shared" si="6"/>
        <v>2134.7199999999998</v>
      </c>
    </row>
    <row r="53" spans="2:9" x14ac:dyDescent="0.3">
      <c r="B53" s="2" t="s">
        <v>70</v>
      </c>
      <c r="C53" s="6">
        <v>0</v>
      </c>
      <c r="D53" s="6">
        <v>0.31</v>
      </c>
      <c r="E53" s="6">
        <v>0.2</v>
      </c>
      <c r="F53" s="6">
        <v>0</v>
      </c>
      <c r="G53" s="6">
        <v>0</v>
      </c>
      <c r="H53" s="6">
        <v>0</v>
      </c>
      <c r="I53" s="6">
        <v>0</v>
      </c>
    </row>
    <row r="54" spans="2:9" ht="16.2" thickBot="1" x14ac:dyDescent="0.35">
      <c r="B54" s="13" t="s">
        <v>71</v>
      </c>
      <c r="C54" s="22">
        <f>C52+C53</f>
        <v>-256.53000000000009</v>
      </c>
      <c r="D54" s="22">
        <f t="shared" ref="D54:I54" si="7">D52+D53</f>
        <v>-158.17999999999989</v>
      </c>
      <c r="E54" s="22">
        <f t="shared" si="7"/>
        <v>2138.2600000000002</v>
      </c>
      <c r="F54" s="22">
        <f t="shared" si="7"/>
        <v>1902.7300000000002</v>
      </c>
      <c r="G54" s="22">
        <f t="shared" si="7"/>
        <v>1256.3400000000001</v>
      </c>
      <c r="H54" s="22">
        <f t="shared" si="7"/>
        <v>1089.81</v>
      </c>
      <c r="I54" s="22">
        <f t="shared" si="7"/>
        <v>2134.7199999999998</v>
      </c>
    </row>
    <row r="55" spans="2:9" ht="16.2" thickBot="1" x14ac:dyDescent="0.35">
      <c r="B55" s="14" t="s">
        <v>72</v>
      </c>
      <c r="C55" s="15">
        <f>C44+C54</f>
        <v>1202.5699999999997</v>
      </c>
      <c r="D55" s="15">
        <f t="shared" ref="D55:I55" si="8">D44+D54</f>
        <v>2154.7199999999998</v>
      </c>
      <c r="E55" s="15">
        <f t="shared" si="8"/>
        <v>6163.56</v>
      </c>
      <c r="F55" s="15">
        <f t="shared" si="8"/>
        <v>5847.93</v>
      </c>
      <c r="G55" s="15">
        <f t="shared" si="8"/>
        <v>5359.14</v>
      </c>
      <c r="H55" s="15">
        <f t="shared" si="8"/>
        <v>5869.3099999999995</v>
      </c>
      <c r="I55" s="15">
        <f t="shared" si="8"/>
        <v>7259.7199999999993</v>
      </c>
    </row>
    <row r="56" spans="2:9" x14ac:dyDescent="0.3">
      <c r="B56" s="2"/>
      <c r="C56" s="9"/>
      <c r="D56" s="9"/>
      <c r="E56" s="9"/>
      <c r="F56" s="9"/>
      <c r="G56" s="9"/>
      <c r="H56" s="9"/>
      <c r="I56" s="9"/>
    </row>
    <row r="57" spans="2:9" ht="16.2" thickBot="1" x14ac:dyDescent="0.35">
      <c r="B57" s="4" t="s">
        <v>73</v>
      </c>
      <c r="C57" s="7">
        <f>ROUND(C25-C55,0)</f>
        <v>0</v>
      </c>
      <c r="D57" s="7">
        <f t="shared" ref="D57:I57" si="9">ROUND(D25-D55,0)</f>
        <v>0</v>
      </c>
      <c r="E57" s="7">
        <f t="shared" si="9"/>
        <v>0</v>
      </c>
      <c r="F57" s="7">
        <f t="shared" si="9"/>
        <v>0</v>
      </c>
      <c r="G57" s="7">
        <f t="shared" si="9"/>
        <v>0</v>
      </c>
      <c r="H57" s="7">
        <f t="shared" si="9"/>
        <v>0</v>
      </c>
      <c r="I57" s="7">
        <f t="shared" si="9"/>
        <v>0</v>
      </c>
    </row>
  </sheetData>
  <mergeCells count="1"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8D43B-0AE5-451E-8577-8383133CC245}">
  <dimension ref="B2:I53"/>
  <sheetViews>
    <sheetView showGridLines="0" zoomScaleNormal="100" workbookViewId="0"/>
  </sheetViews>
  <sheetFormatPr defaultRowHeight="15.6" x14ac:dyDescent="0.3"/>
  <cols>
    <col min="1" max="1" width="1.88671875" customWidth="1"/>
    <col min="2" max="2" width="46.33203125" customWidth="1"/>
    <col min="3" max="9" width="15.77734375" customWidth="1"/>
  </cols>
  <sheetData>
    <row r="2" spans="2:9" ht="17.399999999999999" x14ac:dyDescent="0.35">
      <c r="B2" s="12" t="s">
        <v>0</v>
      </c>
      <c r="C2" s="2"/>
      <c r="D2" s="2"/>
      <c r="E2" s="2"/>
      <c r="F2" s="2"/>
      <c r="G2" s="2"/>
      <c r="H2" s="2"/>
      <c r="I2" s="2"/>
    </row>
    <row r="3" spans="2:9" x14ac:dyDescent="0.3">
      <c r="B3" s="1" t="s">
        <v>74</v>
      </c>
      <c r="C3" s="2"/>
      <c r="D3" s="2"/>
      <c r="E3" s="2"/>
      <c r="F3" s="2"/>
      <c r="G3" s="2"/>
      <c r="H3" s="2"/>
      <c r="I3" s="2"/>
    </row>
    <row r="4" spans="2:9" x14ac:dyDescent="0.3">
      <c r="B4" s="3" t="s">
        <v>2</v>
      </c>
      <c r="C4" s="2"/>
      <c r="D4" s="2"/>
      <c r="E4" s="2"/>
      <c r="F4" s="2"/>
      <c r="G4" s="2"/>
      <c r="H4" s="2"/>
      <c r="I4" s="2"/>
    </row>
    <row r="5" spans="2:9" x14ac:dyDescent="0.3">
      <c r="B5" s="2"/>
      <c r="C5" s="2"/>
      <c r="D5" s="2"/>
      <c r="E5" s="2"/>
      <c r="F5" s="2"/>
      <c r="G5" s="2"/>
      <c r="H5" s="2"/>
      <c r="I5" s="2"/>
    </row>
    <row r="6" spans="2:9" x14ac:dyDescent="0.3">
      <c r="B6" s="2"/>
      <c r="C6" s="225" t="s">
        <v>117</v>
      </c>
      <c r="D6" s="225"/>
      <c r="E6" s="225"/>
      <c r="F6" s="225"/>
      <c r="G6" s="225"/>
      <c r="H6" s="225"/>
      <c r="I6" s="225"/>
    </row>
    <row r="7" spans="2:9" x14ac:dyDescent="0.3">
      <c r="B7" s="216"/>
      <c r="C7" s="216">
        <v>2019</v>
      </c>
      <c r="D7" s="216">
        <v>2020</v>
      </c>
      <c r="E7" s="216">
        <v>2021</v>
      </c>
      <c r="F7" s="216">
        <v>2022</v>
      </c>
      <c r="G7" s="216">
        <v>2023</v>
      </c>
      <c r="H7" s="216">
        <v>2024</v>
      </c>
      <c r="I7" s="216">
        <v>2025</v>
      </c>
    </row>
    <row r="8" spans="2:9" x14ac:dyDescent="0.3">
      <c r="B8" s="1" t="s">
        <v>75</v>
      </c>
      <c r="C8" s="9"/>
      <c r="D8" s="9"/>
      <c r="E8" s="9"/>
      <c r="F8" s="9"/>
      <c r="G8" s="9"/>
      <c r="H8" s="9"/>
      <c r="I8" s="9"/>
    </row>
    <row r="9" spans="2:9" x14ac:dyDescent="0.3">
      <c r="B9" s="2" t="s">
        <v>76</v>
      </c>
      <c r="C9" s="16">
        <f>'Income Statement'!C29</f>
        <v>118.99999999999994</v>
      </c>
      <c r="D9" s="16">
        <f>'Income Statement'!D29</f>
        <v>-43.320000000000192</v>
      </c>
      <c r="E9" s="16">
        <f>'Income Statement'!E29</f>
        <v>35.29999999999977</v>
      </c>
      <c r="F9" s="16">
        <f>'Income Statement'!F29</f>
        <v>-192.98999999999998</v>
      </c>
      <c r="G9" s="16">
        <f>'Income Statement'!G29</f>
        <v>356.66999999999979</v>
      </c>
      <c r="H9" s="16">
        <f>'Income Statement'!H29</f>
        <v>1579.83</v>
      </c>
      <c r="I9" s="16">
        <f>'Income Statement'!I29</f>
        <v>3333.77</v>
      </c>
    </row>
    <row r="10" spans="2:9" x14ac:dyDescent="0.3">
      <c r="B10" s="1" t="s">
        <v>77</v>
      </c>
      <c r="C10" s="8"/>
      <c r="D10" s="8"/>
      <c r="E10" s="8"/>
      <c r="F10" s="8"/>
      <c r="G10" s="8"/>
      <c r="H10" s="8"/>
      <c r="I10" s="8"/>
    </row>
    <row r="11" spans="2:9" x14ac:dyDescent="0.3">
      <c r="B11" s="2" t="s">
        <v>78</v>
      </c>
      <c r="C11" s="6">
        <v>92.81</v>
      </c>
      <c r="D11" s="6">
        <v>255</v>
      </c>
      <c r="E11" s="6">
        <v>431.1</v>
      </c>
      <c r="F11" s="6">
        <v>547.1</v>
      </c>
      <c r="G11" s="6">
        <v>489</v>
      </c>
      <c r="H11" s="6">
        <v>448.7</v>
      </c>
      <c r="I11" s="6">
        <v>194.8</v>
      </c>
    </row>
    <row r="12" spans="2:9" x14ac:dyDescent="0.3">
      <c r="B12" s="2" t="s">
        <v>79</v>
      </c>
      <c r="C12" s="6">
        <v>10.220000000000001</v>
      </c>
      <c r="D12" s="6">
        <v>62.39</v>
      </c>
      <c r="E12" s="6">
        <v>133.19999999999999</v>
      </c>
      <c r="F12" s="6">
        <v>191.6</v>
      </c>
      <c r="G12" s="6">
        <v>363.1</v>
      </c>
      <c r="H12" s="6">
        <v>369.4</v>
      </c>
      <c r="I12" s="6">
        <v>210.4</v>
      </c>
    </row>
    <row r="13" spans="2:9" x14ac:dyDescent="0.3">
      <c r="B13" s="2" t="s">
        <v>80</v>
      </c>
      <c r="C13" s="6">
        <v>4.9800000000000004</v>
      </c>
      <c r="D13" s="6">
        <v>8.15</v>
      </c>
      <c r="E13" s="6">
        <v>12.83</v>
      </c>
      <c r="F13" s="6">
        <v>12.68</v>
      </c>
      <c r="G13" s="6">
        <v>9.36</v>
      </c>
      <c r="H13" s="6">
        <v>5.46</v>
      </c>
      <c r="I13" s="6">
        <v>0</v>
      </c>
    </row>
    <row r="14" spans="2:9" x14ac:dyDescent="0.3">
      <c r="B14" s="2" t="s">
        <v>81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188.9</v>
      </c>
    </row>
    <row r="15" spans="2:9" x14ac:dyDescent="0.3">
      <c r="B15" s="2" t="s">
        <v>82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-106.2</v>
      </c>
    </row>
    <row r="16" spans="2:9" x14ac:dyDescent="0.3">
      <c r="B16" s="2" t="s">
        <v>83</v>
      </c>
      <c r="C16" s="6">
        <v>0</v>
      </c>
      <c r="D16" s="6">
        <v>0</v>
      </c>
      <c r="E16" s="6">
        <v>0</v>
      </c>
      <c r="F16" s="6">
        <v>0</v>
      </c>
      <c r="G16" s="6">
        <v>27.95</v>
      </c>
      <c r="H16" s="6">
        <v>0</v>
      </c>
      <c r="I16" s="6">
        <v>50</v>
      </c>
    </row>
    <row r="17" spans="2:9" x14ac:dyDescent="0.3">
      <c r="B17" s="2" t="s">
        <v>84</v>
      </c>
      <c r="C17" s="6">
        <v>0</v>
      </c>
      <c r="D17" s="6">
        <v>0</v>
      </c>
      <c r="E17" s="6">
        <v>0</v>
      </c>
      <c r="F17" s="6">
        <v>127.9</v>
      </c>
      <c r="G17" s="6">
        <v>0</v>
      </c>
      <c r="H17" s="6">
        <v>1.65</v>
      </c>
      <c r="I17" s="6">
        <v>0</v>
      </c>
    </row>
    <row r="18" spans="2:9" x14ac:dyDescent="0.3">
      <c r="B18" s="2" t="s">
        <v>85</v>
      </c>
      <c r="C18" s="6">
        <v>0</v>
      </c>
      <c r="D18" s="6">
        <v>0</v>
      </c>
      <c r="E18" s="6">
        <v>18.239999999999998</v>
      </c>
      <c r="F18" s="6">
        <v>0</v>
      </c>
      <c r="G18" s="6">
        <v>0</v>
      </c>
      <c r="H18" s="6">
        <v>28.38</v>
      </c>
      <c r="I18" s="6">
        <v>0</v>
      </c>
    </row>
    <row r="19" spans="2:9" x14ac:dyDescent="0.3">
      <c r="B19" s="2" t="s">
        <v>86</v>
      </c>
      <c r="C19" s="6">
        <v>2.69</v>
      </c>
      <c r="D19" s="6">
        <v>7.68</v>
      </c>
      <c r="E19" s="6">
        <v>15.58</v>
      </c>
      <c r="F19" s="6">
        <v>18.91</v>
      </c>
      <c r="G19" s="6">
        <v>24.13</v>
      </c>
      <c r="H19" s="6">
        <v>15.06</v>
      </c>
      <c r="I19" s="6">
        <v>21.46</v>
      </c>
    </row>
    <row r="20" spans="2:9" x14ac:dyDescent="0.3">
      <c r="B20" s="1" t="s">
        <v>87</v>
      </c>
      <c r="C20" s="8"/>
      <c r="D20" s="8"/>
      <c r="E20" s="8"/>
      <c r="F20" s="8"/>
      <c r="G20" s="8"/>
      <c r="H20" s="8"/>
      <c r="I20" s="8"/>
    </row>
    <row r="21" spans="2:9" x14ac:dyDescent="0.3">
      <c r="B21" s="2" t="s">
        <v>88</v>
      </c>
      <c r="C21" s="6">
        <v>-33.520000000000003</v>
      </c>
      <c r="D21" s="6">
        <v>-113.2</v>
      </c>
      <c r="E21" s="6">
        <v>-202</v>
      </c>
      <c r="F21" s="6">
        <v>-174.8</v>
      </c>
      <c r="G21" s="6">
        <v>-261.3</v>
      </c>
      <c r="H21" s="6">
        <v>-467</v>
      </c>
      <c r="I21" s="6">
        <v>-542.20000000000005</v>
      </c>
    </row>
    <row r="22" spans="2:9" x14ac:dyDescent="0.3">
      <c r="B22" s="2" t="s">
        <v>89</v>
      </c>
      <c r="C22" s="6">
        <v>-21.35</v>
      </c>
      <c r="D22" s="6">
        <v>-32.380000000000003</v>
      </c>
      <c r="E22" s="6">
        <v>-143.26</v>
      </c>
      <c r="F22" s="6">
        <v>-81.06</v>
      </c>
      <c r="G22" s="6">
        <v>-133.97999999999999</v>
      </c>
      <c r="H22" s="6">
        <v>-185.34</v>
      </c>
      <c r="I22" s="6">
        <v>134.69999999999999</v>
      </c>
    </row>
    <row r="23" spans="2:9" x14ac:dyDescent="0.3">
      <c r="B23" s="2" t="s">
        <v>90</v>
      </c>
      <c r="C23" s="6">
        <v>13.53</v>
      </c>
      <c r="D23" s="6">
        <v>49.12</v>
      </c>
      <c r="E23" s="6">
        <v>98.61</v>
      </c>
      <c r="F23" s="6">
        <v>3.48</v>
      </c>
      <c r="G23" s="6">
        <v>98.57</v>
      </c>
      <c r="H23" s="6">
        <v>189.6</v>
      </c>
      <c r="I23" s="6">
        <v>232.5</v>
      </c>
    </row>
    <row r="24" spans="2:9" x14ac:dyDescent="0.3">
      <c r="B24" s="2" t="s">
        <v>91</v>
      </c>
      <c r="C24" s="6">
        <v>5.66</v>
      </c>
      <c r="D24" s="6">
        <v>2.78</v>
      </c>
      <c r="E24" s="6">
        <v>3.06</v>
      </c>
      <c r="F24" s="6">
        <v>-6.41</v>
      </c>
      <c r="G24" s="6">
        <v>92.75</v>
      </c>
      <c r="H24" s="6">
        <v>134</v>
      </c>
      <c r="I24" s="6">
        <v>268.2</v>
      </c>
    </row>
    <row r="25" spans="2:9" x14ac:dyDescent="0.3">
      <c r="B25" s="2" t="s">
        <v>92</v>
      </c>
      <c r="C25" s="6">
        <v>6.72</v>
      </c>
      <c r="D25" s="6">
        <v>35.49</v>
      </c>
      <c r="E25" s="6">
        <v>-13.91</v>
      </c>
      <c r="F25" s="6">
        <v>-14.71</v>
      </c>
      <c r="G25" s="6">
        <v>13.86</v>
      </c>
      <c r="H25" s="6">
        <v>-6.63</v>
      </c>
      <c r="I25" s="6">
        <v>0</v>
      </c>
    </row>
    <row r="26" spans="2:9" x14ac:dyDescent="0.3">
      <c r="B26" s="2" t="s">
        <v>93</v>
      </c>
      <c r="C26" s="6">
        <v>-2.2400000000000002</v>
      </c>
      <c r="D26" s="6">
        <v>-8.81</v>
      </c>
      <c r="E26" s="6">
        <v>-26.85</v>
      </c>
      <c r="F26" s="6">
        <v>-18.899999999999999</v>
      </c>
      <c r="G26" s="6">
        <v>-18.61</v>
      </c>
      <c r="H26" s="6">
        <v>-14.11</v>
      </c>
      <c r="I26" s="6">
        <v>-15.23</v>
      </c>
    </row>
    <row r="27" spans="2:9" ht="16.2" thickBot="1" x14ac:dyDescent="0.35">
      <c r="B27" s="4" t="s">
        <v>94</v>
      </c>
      <c r="C27" s="7">
        <f>C9+SUM(C11:C19)+SUM(C21:C26)</f>
        <v>198.49999999999991</v>
      </c>
      <c r="D27" s="7">
        <f t="shared" ref="D27:I27" si="0">D9+SUM(D11:D19)+SUM(D21:D26)</f>
        <v>222.89999999999975</v>
      </c>
      <c r="E27" s="7">
        <f t="shared" si="0"/>
        <v>361.89999999999975</v>
      </c>
      <c r="F27" s="7">
        <f t="shared" si="0"/>
        <v>412.79999999999995</v>
      </c>
      <c r="G27" s="7">
        <f t="shared" si="0"/>
        <v>1061.4999999999998</v>
      </c>
      <c r="H27" s="7">
        <f t="shared" si="0"/>
        <v>2098.9999999999995</v>
      </c>
      <c r="I27" s="7">
        <f t="shared" si="0"/>
        <v>3971.1</v>
      </c>
    </row>
    <row r="28" spans="2:9" x14ac:dyDescent="0.3">
      <c r="B28" s="2"/>
      <c r="C28" s="8"/>
      <c r="D28" s="8"/>
      <c r="E28" s="8"/>
      <c r="F28" s="8"/>
      <c r="G28" s="8"/>
      <c r="H28" s="8"/>
      <c r="I28" s="8"/>
    </row>
    <row r="29" spans="2:9" x14ac:dyDescent="0.3">
      <c r="B29" s="1" t="s">
        <v>95</v>
      </c>
      <c r="C29" s="8"/>
      <c r="D29" s="8"/>
      <c r="E29" s="8"/>
      <c r="F29" s="8"/>
      <c r="G29" s="8"/>
      <c r="H29" s="8"/>
      <c r="I29" s="8"/>
    </row>
    <row r="30" spans="2:9" x14ac:dyDescent="0.3">
      <c r="B30" s="2" t="s">
        <v>96</v>
      </c>
      <c r="C30" s="6">
        <v>-404.2</v>
      </c>
      <c r="D30" s="6">
        <v>-674.7</v>
      </c>
      <c r="E30" s="6">
        <v>-1206.5</v>
      </c>
      <c r="F30" s="6">
        <v>-1339.8</v>
      </c>
      <c r="G30" s="6">
        <v>0</v>
      </c>
      <c r="H30" s="6">
        <v>0</v>
      </c>
      <c r="I30" s="6">
        <v>0</v>
      </c>
    </row>
    <row r="31" spans="2:9" x14ac:dyDescent="0.3">
      <c r="B31" s="2" t="s">
        <v>97</v>
      </c>
      <c r="C31" s="6">
        <v>-3.36</v>
      </c>
      <c r="D31" s="6">
        <v>-3.24</v>
      </c>
      <c r="E31" s="6">
        <v>-1.39</v>
      </c>
      <c r="F31" s="6">
        <v>-0.66</v>
      </c>
      <c r="G31" s="6">
        <v>-4.25</v>
      </c>
      <c r="H31" s="6">
        <v>-4.78</v>
      </c>
      <c r="I31" s="6">
        <v>0</v>
      </c>
    </row>
    <row r="32" spans="2:9" x14ac:dyDescent="0.3">
      <c r="B32" s="2" t="s">
        <v>98</v>
      </c>
      <c r="C32" s="6">
        <v>0</v>
      </c>
      <c r="D32" s="6">
        <v>0</v>
      </c>
      <c r="E32" s="6">
        <v>-4.07</v>
      </c>
      <c r="F32" s="6">
        <v>-5.95</v>
      </c>
      <c r="G32" s="6">
        <v>-63.9</v>
      </c>
      <c r="H32" s="6">
        <v>-25.55</v>
      </c>
      <c r="I32" s="6">
        <v>-28.32</v>
      </c>
    </row>
    <row r="33" spans="2:9" x14ac:dyDescent="0.3">
      <c r="B33" s="2" t="s">
        <v>99</v>
      </c>
      <c r="C33" s="6">
        <v>-4</v>
      </c>
      <c r="D33" s="6">
        <v>-2</v>
      </c>
      <c r="E33" s="6">
        <v>-15</v>
      </c>
      <c r="F33" s="6">
        <v>-66.34</v>
      </c>
      <c r="G33" s="6">
        <v>-17.93</v>
      </c>
      <c r="H33" s="6">
        <v>-76.98</v>
      </c>
      <c r="I33" s="6">
        <v>-20.18</v>
      </c>
    </row>
    <row r="34" spans="2:9" x14ac:dyDescent="0.3">
      <c r="B34" s="2" t="s">
        <v>100</v>
      </c>
      <c r="C34" s="6">
        <v>0</v>
      </c>
      <c r="D34" s="6">
        <v>0</v>
      </c>
      <c r="E34" s="6">
        <v>12.01</v>
      </c>
      <c r="F34" s="6">
        <v>41.31</v>
      </c>
      <c r="G34" s="6">
        <v>8.25</v>
      </c>
      <c r="H34" s="6">
        <v>0.56000000000000005</v>
      </c>
      <c r="I34" s="6">
        <v>407.3</v>
      </c>
    </row>
    <row r="35" spans="2:9" x14ac:dyDescent="0.3">
      <c r="B35" s="2" t="s">
        <v>101</v>
      </c>
      <c r="C35" s="6">
        <v>-0.04</v>
      </c>
      <c r="D35" s="6">
        <v>0.04</v>
      </c>
      <c r="E35" s="6">
        <v>0.05</v>
      </c>
      <c r="F35" s="6">
        <v>-0.06</v>
      </c>
      <c r="G35" s="6">
        <v>0</v>
      </c>
      <c r="H35" s="6">
        <v>-0.05</v>
      </c>
      <c r="I35" s="6">
        <v>-0.4</v>
      </c>
    </row>
    <row r="36" spans="2:9" ht="16.2" thickBot="1" x14ac:dyDescent="0.35">
      <c r="B36" s="4" t="s">
        <v>102</v>
      </c>
      <c r="C36" s="7">
        <f>SUM(C30:C35)</f>
        <v>-411.6</v>
      </c>
      <c r="D36" s="7">
        <f t="shared" ref="D36:I36" si="1">SUM(D30:D35)</f>
        <v>-679.90000000000009</v>
      </c>
      <c r="E36" s="7">
        <f t="shared" si="1"/>
        <v>-1214.9000000000001</v>
      </c>
      <c r="F36" s="7">
        <f t="shared" si="1"/>
        <v>-1371.5</v>
      </c>
      <c r="G36" s="7">
        <f t="shared" si="1"/>
        <v>-77.830000000000013</v>
      </c>
      <c r="H36" s="7">
        <f t="shared" si="1"/>
        <v>-106.8</v>
      </c>
      <c r="I36" s="7">
        <f t="shared" si="1"/>
        <v>358.40000000000003</v>
      </c>
    </row>
    <row r="37" spans="2:9" x14ac:dyDescent="0.3">
      <c r="B37" s="2"/>
      <c r="C37" s="8"/>
      <c r="D37" s="8"/>
      <c r="E37" s="8"/>
      <c r="F37" s="8"/>
      <c r="G37" s="8"/>
      <c r="H37" s="8"/>
      <c r="I37" s="8"/>
    </row>
    <row r="38" spans="2:9" x14ac:dyDescent="0.3">
      <c r="B38" s="1" t="s">
        <v>103</v>
      </c>
      <c r="C38" s="8"/>
      <c r="D38" s="8"/>
      <c r="E38" s="8"/>
      <c r="F38" s="8"/>
      <c r="G38" s="8"/>
      <c r="H38" s="8"/>
      <c r="I38" s="8"/>
    </row>
    <row r="39" spans="2:9" x14ac:dyDescent="0.3">
      <c r="B39" s="2" t="s">
        <v>104</v>
      </c>
      <c r="C39" s="6">
        <v>388.9</v>
      </c>
      <c r="D39" s="6">
        <v>481.3</v>
      </c>
      <c r="E39" s="6">
        <v>2329.1</v>
      </c>
      <c r="F39" s="6">
        <v>0</v>
      </c>
      <c r="G39" s="6">
        <v>395.3</v>
      </c>
      <c r="H39" s="6">
        <v>4614.8</v>
      </c>
      <c r="I39" s="6">
        <v>200</v>
      </c>
    </row>
    <row r="40" spans="2:9" x14ac:dyDescent="0.3">
      <c r="B40" s="2" t="s">
        <v>105</v>
      </c>
      <c r="C40" s="6">
        <v>-11.21</v>
      </c>
      <c r="D40" s="6">
        <v>-64.290000000000006</v>
      </c>
      <c r="E40" s="6">
        <v>-719.8</v>
      </c>
      <c r="F40" s="6">
        <v>-25.81</v>
      </c>
      <c r="G40" s="6">
        <v>-498</v>
      </c>
      <c r="H40" s="6">
        <v>-4225.2</v>
      </c>
      <c r="I40" s="6">
        <v>-200</v>
      </c>
    </row>
    <row r="41" spans="2:9" x14ac:dyDescent="0.3">
      <c r="B41" s="2" t="s">
        <v>106</v>
      </c>
      <c r="C41" s="6">
        <v>-0.01</v>
      </c>
      <c r="D41" s="6">
        <v>-1.77</v>
      </c>
      <c r="E41" s="6">
        <v>0</v>
      </c>
      <c r="F41" s="6">
        <v>-338.9</v>
      </c>
      <c r="G41" s="6">
        <v>-1153.5999999999999</v>
      </c>
      <c r="H41" s="6">
        <v>-981.3</v>
      </c>
      <c r="I41" s="6">
        <v>-2191.9</v>
      </c>
    </row>
    <row r="42" spans="2:9" x14ac:dyDescent="0.3">
      <c r="B42" s="2" t="s">
        <v>107</v>
      </c>
      <c r="C42" s="6">
        <v>0</v>
      </c>
      <c r="D42" s="6">
        <v>0</v>
      </c>
      <c r="E42" s="6">
        <v>0</v>
      </c>
      <c r="F42" s="6">
        <v>-27.53</v>
      </c>
      <c r="G42" s="6">
        <v>-246.4</v>
      </c>
      <c r="H42" s="6">
        <v>-1143.5</v>
      </c>
      <c r="I42" s="6">
        <v>-392.4</v>
      </c>
    </row>
    <row r="43" spans="2:9" x14ac:dyDescent="0.3">
      <c r="B43" s="2" t="s">
        <v>108</v>
      </c>
      <c r="C43" s="6">
        <v>2.64</v>
      </c>
      <c r="D43" s="6">
        <v>11.62</v>
      </c>
      <c r="E43" s="6">
        <v>1779.24</v>
      </c>
      <c r="F43" s="6">
        <v>31.02</v>
      </c>
      <c r="G43" s="6">
        <v>25.79</v>
      </c>
      <c r="H43" s="6">
        <v>41.8</v>
      </c>
      <c r="I43" s="6">
        <v>25.33</v>
      </c>
    </row>
    <row r="44" spans="2:9" x14ac:dyDescent="0.3">
      <c r="B44" s="2" t="s">
        <v>109</v>
      </c>
      <c r="C44" s="6">
        <v>-5.66</v>
      </c>
      <c r="D44" s="6">
        <v>-9.7100000000000009</v>
      </c>
      <c r="E44" s="6">
        <v>-15.27</v>
      </c>
      <c r="F44" s="6">
        <v>-24.08</v>
      </c>
      <c r="G44" s="6">
        <v>-20.170000000000002</v>
      </c>
      <c r="H44" s="6">
        <v>-20.87</v>
      </c>
      <c r="I44" s="6">
        <v>-18.670000000000002</v>
      </c>
    </row>
    <row r="45" spans="2:9" x14ac:dyDescent="0.3">
      <c r="B45" s="2" t="s">
        <v>110</v>
      </c>
      <c r="C45" s="6">
        <v>-41.46</v>
      </c>
      <c r="D45" s="6">
        <v>-39.25</v>
      </c>
      <c r="E45" s="6">
        <v>-263.67</v>
      </c>
      <c r="F45" s="6">
        <v>-141.6</v>
      </c>
      <c r="G45" s="6">
        <v>-65.72</v>
      </c>
      <c r="H45" s="6">
        <v>-35.53</v>
      </c>
      <c r="I45" s="6">
        <v>-15.46</v>
      </c>
    </row>
    <row r="46" spans="2:9" ht="16.2" thickBot="1" x14ac:dyDescent="0.35">
      <c r="B46" s="4" t="s">
        <v>111</v>
      </c>
      <c r="C46" s="7">
        <f>SUM(C39:C45)</f>
        <v>333.2</v>
      </c>
      <c r="D46" s="7">
        <f t="shared" ref="D46:I46" si="2">SUM(D39:D45)</f>
        <v>377.90000000000003</v>
      </c>
      <c r="E46" s="7">
        <f t="shared" si="2"/>
        <v>3109.6</v>
      </c>
      <c r="F46" s="7">
        <f t="shared" si="2"/>
        <v>-526.9</v>
      </c>
      <c r="G46" s="7">
        <f t="shared" si="2"/>
        <v>-1562.8000000000002</v>
      </c>
      <c r="H46" s="7">
        <f t="shared" si="2"/>
        <v>-1749.7999999999995</v>
      </c>
      <c r="I46" s="7">
        <f t="shared" si="2"/>
        <v>-2593.1000000000004</v>
      </c>
    </row>
    <row r="47" spans="2:9" x14ac:dyDescent="0.3">
      <c r="B47" s="2"/>
      <c r="C47" s="8"/>
      <c r="D47" s="8"/>
      <c r="E47" s="8"/>
      <c r="F47" s="8"/>
      <c r="G47" s="8"/>
      <c r="H47" s="8"/>
      <c r="I47" s="8"/>
    </row>
    <row r="48" spans="2:9" x14ac:dyDescent="0.3">
      <c r="B48" s="2" t="s">
        <v>112</v>
      </c>
      <c r="C48" s="6">
        <v>0.06</v>
      </c>
      <c r="D48" s="6">
        <v>0.14000000000000001</v>
      </c>
      <c r="E48" s="6">
        <v>-3.2</v>
      </c>
      <c r="F48" s="6">
        <v>-4.4800000000000004</v>
      </c>
      <c r="G48" s="6">
        <v>0.78</v>
      </c>
      <c r="H48" s="6">
        <v>-3.15</v>
      </c>
      <c r="I48" s="6">
        <v>9.23</v>
      </c>
    </row>
    <row r="49" spans="2:9" x14ac:dyDescent="0.3">
      <c r="B49" s="2" t="s">
        <v>113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44.38</v>
      </c>
    </row>
    <row r="50" spans="2:9" x14ac:dyDescent="0.3">
      <c r="B50" s="2"/>
      <c r="C50" s="8"/>
      <c r="D50" s="8"/>
      <c r="E50" s="8"/>
      <c r="F50" s="8"/>
      <c r="G50" s="8"/>
      <c r="H50" s="8"/>
      <c r="I50" s="8"/>
    </row>
    <row r="51" spans="2:9" ht="16.2" thickBot="1" x14ac:dyDescent="0.35">
      <c r="B51" s="4" t="s">
        <v>114</v>
      </c>
      <c r="C51" s="7">
        <f>C27+C36+C46+C48+C49</f>
        <v>120.15999999999988</v>
      </c>
      <c r="D51" s="7">
        <f t="shared" ref="D51:I51" si="3">D27+D36+D46+D48+D49</f>
        <v>-78.960000000000306</v>
      </c>
      <c r="E51" s="7">
        <f t="shared" si="3"/>
        <v>2253.3999999999996</v>
      </c>
      <c r="F51" s="7">
        <f t="shared" si="3"/>
        <v>-1490.08</v>
      </c>
      <c r="G51" s="7">
        <f t="shared" si="3"/>
        <v>-578.35000000000048</v>
      </c>
      <c r="H51" s="7">
        <f t="shared" si="3"/>
        <v>239.25000000000009</v>
      </c>
      <c r="I51" s="7">
        <f t="shared" si="3"/>
        <v>1790.0099999999998</v>
      </c>
    </row>
    <row r="52" spans="2:9" x14ac:dyDescent="0.3">
      <c r="B52" s="2" t="s">
        <v>115</v>
      </c>
      <c r="C52" s="6">
        <v>276.10000000000002</v>
      </c>
      <c r="D52" s="6">
        <v>396.3</v>
      </c>
      <c r="E52" s="6">
        <v>317.2</v>
      </c>
      <c r="F52" s="6">
        <v>2570.5</v>
      </c>
      <c r="G52" s="6">
        <v>1080.5</v>
      </c>
      <c r="H52" s="6">
        <v>502.2</v>
      </c>
      <c r="I52" s="6">
        <v>697</v>
      </c>
    </row>
    <row r="53" spans="2:9" ht="16.2" thickBot="1" x14ac:dyDescent="0.35">
      <c r="B53" s="4" t="s">
        <v>116</v>
      </c>
      <c r="C53" s="7">
        <f>C52+C51</f>
        <v>396.25999999999988</v>
      </c>
      <c r="D53" s="7">
        <f t="shared" ref="D53:I53" si="4">D52+D51</f>
        <v>317.33999999999969</v>
      </c>
      <c r="E53" s="7">
        <f t="shared" si="4"/>
        <v>2570.5999999999995</v>
      </c>
      <c r="F53" s="7">
        <f t="shared" si="4"/>
        <v>1080.42</v>
      </c>
      <c r="G53" s="7">
        <f t="shared" si="4"/>
        <v>502.14999999999952</v>
      </c>
      <c r="H53" s="7">
        <f t="shared" si="4"/>
        <v>741.45</v>
      </c>
      <c r="I53" s="7">
        <f t="shared" si="4"/>
        <v>2487.0099999999998</v>
      </c>
    </row>
  </sheetData>
  <mergeCells count="1"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Cover</vt:lpstr>
      <vt:lpstr>Control</vt:lpstr>
      <vt:lpstr>Metrics &amp; Drivers</vt:lpstr>
      <vt:lpstr>Net Working Capital</vt:lpstr>
      <vt:lpstr>DCF</vt:lpstr>
      <vt:lpstr>WACC</vt:lpstr>
      <vt:lpstr>Income Statement</vt:lpstr>
      <vt:lpstr>Balance Sheet</vt:lpstr>
      <vt:lpstr>Cash Flow</vt:lpstr>
      <vt:lpstr>CaseSel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Bhavya Patel</dc:creator>
  <cp:lastModifiedBy>Patel,BM (ug)</cp:lastModifiedBy>
  <dcterms:created xsi:type="dcterms:W3CDTF">2026-03-01T18:37:21Z</dcterms:created>
  <dcterms:modified xsi:type="dcterms:W3CDTF">2026-03-10T18:46:31Z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hortcut_file_id">
    <vt:lpwstr>fcf0b0b8-dce7-4f30-ab64-22483584fb33</vt:lpwstr>
  </property>
  <property fmtid="{D5CDD505-2E9C-101B-9397-08002B2CF9AE}" pid="3" name="{A44787D4-0540-4523-9961-78E4036D8C6D}">
    <vt:lpwstr>{FE71C9EF-E85C-4836-8462-6436DD08BA57}</vt:lpwstr>
  </property>
</Properties>
</file>