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xl/webextensions/webextension2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tsme\OneDrive\Documents\LSE\Sipher street\Intuit\"/>
    </mc:Choice>
  </mc:AlternateContent>
  <xr:revisionPtr revIDLastSave="0" documentId="13_ncr:1_{07452EB1-6847-4570-8C9B-8BA3EE6B55D1}" xr6:coauthVersionLast="47" xr6:coauthVersionMax="47" xr10:uidLastSave="{00000000-0000-0000-0000-000000000000}"/>
  <bookViews>
    <workbookView xWindow="-28920" yWindow="-120" windowWidth="29040" windowHeight="15720" tabRatio="584" xr2:uid="{0852EA28-06FA-43DE-974B-4765B0DD5219}"/>
  </bookViews>
  <sheets>
    <sheet name="Cover" sheetId="7" r:id="rId1"/>
    <sheet name="Control" sheetId="6" r:id="rId2"/>
    <sheet name="Metrics &amp; Drivers" sheetId="9" r:id="rId3"/>
    <sheet name="DCF" sheetId="11" r:id="rId4"/>
    <sheet name="Net Working Capital" sheetId="10" r:id="rId5"/>
    <sheet name="WACC" sheetId="5" r:id="rId6"/>
    <sheet name="Comps Analysis" sheetId="8" r:id="rId7"/>
    <sheet name="Income Statement" sheetId="1" r:id="rId8"/>
    <sheet name="Balance Sheet" sheetId="2" r:id="rId9"/>
    <sheet name="Cash Flow" sheetId="3" r:id="rId10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3" i="9" l="1"/>
  <c r="Q7" i="11" s="1"/>
  <c r="O76" i="9" l="1"/>
  <c r="N76" i="9"/>
  <c r="M76" i="9"/>
  <c r="L76" i="9"/>
  <c r="K76" i="9"/>
  <c r="J76" i="9"/>
  <c r="M17" i="11"/>
  <c r="Q17" i="11" s="1"/>
  <c r="M15" i="11"/>
  <c r="Q15" i="11" s="1"/>
  <c r="M14" i="11"/>
  <c r="E33" i="11"/>
  <c r="F33" i="11" s="1"/>
  <c r="G33" i="11" s="1"/>
  <c r="H33" i="11" s="1"/>
  <c r="I33" i="11" s="1"/>
  <c r="I16" i="10"/>
  <c r="H16" i="10"/>
  <c r="G16" i="10"/>
  <c r="F16" i="10"/>
  <c r="E16" i="10"/>
  <c r="D16" i="10"/>
  <c r="C16" i="10"/>
  <c r="I15" i="10"/>
  <c r="H15" i="10"/>
  <c r="G15" i="10"/>
  <c r="F15" i="10"/>
  <c r="E15" i="10"/>
  <c r="D15" i="10"/>
  <c r="C15" i="10"/>
  <c r="I14" i="10"/>
  <c r="H14" i="10"/>
  <c r="G14" i="10"/>
  <c r="F14" i="10"/>
  <c r="E14" i="10"/>
  <c r="D14" i="10"/>
  <c r="C14" i="10"/>
  <c r="I13" i="10"/>
  <c r="H13" i="10"/>
  <c r="G13" i="10"/>
  <c r="F13" i="10"/>
  <c r="E13" i="10"/>
  <c r="D13" i="10"/>
  <c r="C13" i="10"/>
  <c r="I10" i="10"/>
  <c r="H10" i="10"/>
  <c r="G10" i="10"/>
  <c r="F10" i="10"/>
  <c r="E10" i="10"/>
  <c r="D10" i="10"/>
  <c r="C10" i="10"/>
  <c r="I9" i="10"/>
  <c r="H9" i="10"/>
  <c r="G9" i="10"/>
  <c r="F9" i="10"/>
  <c r="E9" i="10"/>
  <c r="D9" i="10"/>
  <c r="C9" i="10"/>
  <c r="O14" i="9"/>
  <c r="N14" i="9"/>
  <c r="M14" i="9"/>
  <c r="L14" i="9"/>
  <c r="K14" i="9"/>
  <c r="J14" i="9"/>
  <c r="I13" i="9"/>
  <c r="H13" i="9"/>
  <c r="G13" i="9"/>
  <c r="F13" i="9"/>
  <c r="E13" i="9"/>
  <c r="D13" i="9"/>
  <c r="C13" i="9"/>
  <c r="O8" i="9"/>
  <c r="N8" i="9"/>
  <c r="M8" i="9"/>
  <c r="L8" i="9"/>
  <c r="K8" i="9"/>
  <c r="J8" i="9"/>
  <c r="I7" i="9"/>
  <c r="H7" i="9"/>
  <c r="G7" i="9"/>
  <c r="F7" i="9"/>
  <c r="E7" i="9"/>
  <c r="D7" i="9"/>
  <c r="C7" i="9"/>
  <c r="J108" i="9"/>
  <c r="M7" i="11" s="1"/>
  <c r="O102" i="9"/>
  <c r="N102" i="9"/>
  <c r="M102" i="9"/>
  <c r="L102" i="9"/>
  <c r="K102" i="9"/>
  <c r="J102" i="9"/>
  <c r="I101" i="9"/>
  <c r="H101" i="9"/>
  <c r="G101" i="9"/>
  <c r="F101" i="9"/>
  <c r="E101" i="9"/>
  <c r="D101" i="9"/>
  <c r="C101" i="9"/>
  <c r="O96" i="9"/>
  <c r="N96" i="9"/>
  <c r="M96" i="9"/>
  <c r="L96" i="9"/>
  <c r="K96" i="9"/>
  <c r="J96" i="9"/>
  <c r="I95" i="9"/>
  <c r="H95" i="9"/>
  <c r="G95" i="9"/>
  <c r="F95" i="9"/>
  <c r="E95" i="9"/>
  <c r="D95" i="9"/>
  <c r="C95" i="9"/>
  <c r="O90" i="9"/>
  <c r="N90" i="9"/>
  <c r="M90" i="9"/>
  <c r="L90" i="9"/>
  <c r="K90" i="9"/>
  <c r="J90" i="9"/>
  <c r="I89" i="9"/>
  <c r="H89" i="9"/>
  <c r="G89" i="9"/>
  <c r="F89" i="9"/>
  <c r="E89" i="9"/>
  <c r="D89" i="9"/>
  <c r="C89" i="9"/>
  <c r="O84" i="9"/>
  <c r="N84" i="9"/>
  <c r="M84" i="9"/>
  <c r="L84" i="9"/>
  <c r="K84" i="9"/>
  <c r="J84" i="9"/>
  <c r="I83" i="9"/>
  <c r="H83" i="9"/>
  <c r="G83" i="9"/>
  <c r="F83" i="9"/>
  <c r="E83" i="9"/>
  <c r="D83" i="9"/>
  <c r="C83" i="9"/>
  <c r="I68" i="9"/>
  <c r="H68" i="9"/>
  <c r="G68" i="9"/>
  <c r="F68" i="9"/>
  <c r="E68" i="9"/>
  <c r="D68" i="9"/>
  <c r="C68" i="9"/>
  <c r="O68" i="9"/>
  <c r="N68" i="9"/>
  <c r="M68" i="9"/>
  <c r="L68" i="9"/>
  <c r="K68" i="9"/>
  <c r="J68" i="9"/>
  <c r="I61" i="9"/>
  <c r="C27" i="11" s="1"/>
  <c r="H61" i="9"/>
  <c r="G61" i="9"/>
  <c r="F61" i="9"/>
  <c r="E61" i="9"/>
  <c r="D61" i="9"/>
  <c r="C61" i="9"/>
  <c r="O62" i="9"/>
  <c r="N62" i="9"/>
  <c r="M62" i="9"/>
  <c r="L62" i="9"/>
  <c r="K62" i="9"/>
  <c r="J62" i="9"/>
  <c r="O56" i="9"/>
  <c r="N56" i="9"/>
  <c r="M56" i="9"/>
  <c r="L56" i="9"/>
  <c r="K56" i="9"/>
  <c r="J56" i="9"/>
  <c r="I55" i="9"/>
  <c r="H55" i="9"/>
  <c r="G55" i="9"/>
  <c r="F55" i="9"/>
  <c r="E55" i="9"/>
  <c r="D55" i="9"/>
  <c r="C55" i="9"/>
  <c r="O49" i="9"/>
  <c r="N49" i="9"/>
  <c r="M49" i="9"/>
  <c r="L49" i="9"/>
  <c r="K49" i="9"/>
  <c r="J49" i="9"/>
  <c r="I48" i="9"/>
  <c r="C26" i="11" s="1"/>
  <c r="H48" i="9"/>
  <c r="G48" i="9"/>
  <c r="F48" i="9"/>
  <c r="E48" i="9"/>
  <c r="D48" i="9"/>
  <c r="C48" i="9"/>
  <c r="O43" i="9"/>
  <c r="N43" i="9"/>
  <c r="M43" i="9"/>
  <c r="L43" i="9"/>
  <c r="K43" i="9"/>
  <c r="J43" i="9"/>
  <c r="I42" i="9"/>
  <c r="C16" i="11" s="1"/>
  <c r="H42" i="9"/>
  <c r="G42" i="9"/>
  <c r="F42" i="9"/>
  <c r="E42" i="9"/>
  <c r="D42" i="9"/>
  <c r="C42" i="9"/>
  <c r="O37" i="9"/>
  <c r="N37" i="9"/>
  <c r="M37" i="9"/>
  <c r="L37" i="9"/>
  <c r="K37" i="9"/>
  <c r="J37" i="9"/>
  <c r="I36" i="9"/>
  <c r="C15" i="11" s="1"/>
  <c r="H36" i="9"/>
  <c r="G36" i="9"/>
  <c r="F36" i="9"/>
  <c r="E36" i="9"/>
  <c r="D36" i="9"/>
  <c r="C36" i="9"/>
  <c r="O31" i="9"/>
  <c r="N31" i="9"/>
  <c r="M31" i="9"/>
  <c r="L31" i="9"/>
  <c r="K31" i="9"/>
  <c r="J31" i="9"/>
  <c r="I30" i="9"/>
  <c r="C14" i="11" s="1"/>
  <c r="H30" i="9"/>
  <c r="G30" i="9"/>
  <c r="F30" i="9"/>
  <c r="E30" i="9"/>
  <c r="D30" i="9"/>
  <c r="C30" i="9"/>
  <c r="O25" i="9"/>
  <c r="N25" i="9"/>
  <c r="M25" i="9"/>
  <c r="L25" i="9"/>
  <c r="K25" i="9"/>
  <c r="J25" i="9"/>
  <c r="I24" i="9"/>
  <c r="C9" i="11" s="1"/>
  <c r="H24" i="9"/>
  <c r="G24" i="9"/>
  <c r="F24" i="9"/>
  <c r="E24" i="9"/>
  <c r="D24" i="9"/>
  <c r="C24" i="9"/>
  <c r="D3" i="9"/>
  <c r="W22" i="8"/>
  <c r="V22" i="8"/>
  <c r="T22" i="8"/>
  <c r="S22" i="8"/>
  <c r="Q22" i="8"/>
  <c r="P22" i="8"/>
  <c r="N22" i="8"/>
  <c r="L22" i="8"/>
  <c r="J22" i="8"/>
  <c r="H22" i="8"/>
  <c r="F22" i="8"/>
  <c r="W21" i="8"/>
  <c r="V21" i="8"/>
  <c r="T21" i="8"/>
  <c r="S21" i="8"/>
  <c r="Q21" i="8"/>
  <c r="P21" i="8"/>
  <c r="N21" i="8"/>
  <c r="L21" i="8"/>
  <c r="J21" i="8"/>
  <c r="H21" i="8"/>
  <c r="F21" i="8"/>
  <c r="W20" i="8"/>
  <c r="V20" i="8"/>
  <c r="T20" i="8"/>
  <c r="S20" i="8"/>
  <c r="Q20" i="8"/>
  <c r="P20" i="8"/>
  <c r="N20" i="8"/>
  <c r="L20" i="8"/>
  <c r="J20" i="8"/>
  <c r="H20" i="8"/>
  <c r="F20" i="8"/>
  <c r="W19" i="8"/>
  <c r="V19" i="8"/>
  <c r="T19" i="8"/>
  <c r="S19" i="8"/>
  <c r="Q19" i="8"/>
  <c r="P19" i="8"/>
  <c r="N19" i="8"/>
  <c r="L19" i="8"/>
  <c r="J19" i="8"/>
  <c r="H19" i="8"/>
  <c r="F19" i="8"/>
  <c r="W18" i="8"/>
  <c r="V18" i="8"/>
  <c r="T18" i="8"/>
  <c r="S18" i="8"/>
  <c r="Q18" i="8"/>
  <c r="P18" i="8"/>
  <c r="N18" i="8"/>
  <c r="L18" i="8"/>
  <c r="J18" i="8"/>
  <c r="H18" i="8"/>
  <c r="F18" i="8"/>
  <c r="Q14" i="11" l="1"/>
  <c r="N69" i="9"/>
  <c r="M69" i="9"/>
  <c r="K69" i="9"/>
  <c r="J69" i="9"/>
  <c r="L69" i="9"/>
  <c r="O69" i="9"/>
  <c r="I17" i="10"/>
  <c r="G17" i="10"/>
  <c r="H17" i="10"/>
  <c r="F17" i="10"/>
  <c r="E17" i="10"/>
  <c r="D17" i="10"/>
  <c r="C17" i="10"/>
  <c r="I11" i="10"/>
  <c r="H11" i="10"/>
  <c r="G11" i="10"/>
  <c r="F11" i="10"/>
  <c r="E11" i="10"/>
  <c r="D11" i="10"/>
  <c r="C11" i="10"/>
  <c r="H14" i="9"/>
  <c r="J13" i="9"/>
  <c r="K13" i="9" s="1"/>
  <c r="L13" i="9" s="1"/>
  <c r="M13" i="9" s="1"/>
  <c r="N13" i="9" s="1"/>
  <c r="O13" i="9" s="1"/>
  <c r="I14" i="9"/>
  <c r="G14" i="9"/>
  <c r="F14" i="9"/>
  <c r="E14" i="9"/>
  <c r="D14" i="9"/>
  <c r="J7" i="9"/>
  <c r="H8" i="9"/>
  <c r="I8" i="9"/>
  <c r="G8" i="9"/>
  <c r="E8" i="9"/>
  <c r="F8" i="9"/>
  <c r="D8" i="9"/>
  <c r="H69" i="9"/>
  <c r="I69" i="9"/>
  <c r="G69" i="9"/>
  <c r="F69" i="9"/>
  <c r="D69" i="9"/>
  <c r="E69" i="9"/>
  <c r="E11" i="5"/>
  <c r="E10" i="5"/>
  <c r="J17" i="5"/>
  <c r="J16" i="5"/>
  <c r="J15" i="5"/>
  <c r="J10" i="5"/>
  <c r="J7" i="5"/>
  <c r="J9" i="5" s="1"/>
  <c r="E12" i="5"/>
  <c r="G22" i="5" s="1"/>
  <c r="H19" i="10" l="1"/>
  <c r="G19" i="10"/>
  <c r="F19" i="10"/>
  <c r="D19" i="10"/>
  <c r="C19" i="10"/>
  <c r="E19" i="10"/>
  <c r="I19" i="10"/>
  <c r="K7" i="9"/>
  <c r="J19" i="9"/>
  <c r="D7" i="11" s="1"/>
  <c r="G23" i="5"/>
  <c r="H23" i="5" s="1"/>
  <c r="J11" i="5"/>
  <c r="J18" i="5"/>
  <c r="J23" i="5" s="1"/>
  <c r="I20" i="10" l="1"/>
  <c r="C28" i="11" s="1"/>
  <c r="H20" i="10"/>
  <c r="G20" i="10"/>
  <c r="D20" i="10"/>
  <c r="E20" i="10"/>
  <c r="F20" i="10"/>
  <c r="L7" i="9"/>
  <c r="K19" i="9"/>
  <c r="J22" i="5"/>
  <c r="H22" i="5"/>
  <c r="H24" i="5" s="1"/>
  <c r="G24" i="5"/>
  <c r="K20" i="9" l="1"/>
  <c r="E7" i="11"/>
  <c r="M7" i="9"/>
  <c r="L19" i="9"/>
  <c r="J24" i="5"/>
  <c r="C32" i="11" s="1"/>
  <c r="H34" i="11" l="1"/>
  <c r="I34" i="11"/>
  <c r="Q9" i="11" s="1"/>
  <c r="F34" i="11"/>
  <c r="G34" i="11"/>
  <c r="D34" i="11"/>
  <c r="E34" i="11"/>
  <c r="E8" i="11"/>
  <c r="L20" i="9"/>
  <c r="F7" i="11"/>
  <c r="N7" i="9"/>
  <c r="M19" i="9"/>
  <c r="M9" i="11" l="1"/>
  <c r="F8" i="11"/>
  <c r="M20" i="9"/>
  <c r="G7" i="11"/>
  <c r="O7" i="9"/>
  <c r="O19" i="9" s="1"/>
  <c r="I7" i="11" s="1"/>
  <c r="N19" i="9"/>
  <c r="G8" i="11" l="1"/>
  <c r="N20" i="9"/>
  <c r="H7" i="11"/>
  <c r="O20" i="9"/>
  <c r="H8" i="11" l="1"/>
  <c r="I8" i="11"/>
  <c r="I11" i="1"/>
  <c r="I19" i="9" s="1"/>
  <c r="C7" i="11" s="1"/>
  <c r="H11" i="1"/>
  <c r="H19" i="9" s="1"/>
  <c r="H102" i="9" s="1"/>
  <c r="G11" i="1"/>
  <c r="F11" i="1"/>
  <c r="E11" i="1"/>
  <c r="E19" i="9" s="1"/>
  <c r="E102" i="9" s="1"/>
  <c r="D11" i="1"/>
  <c r="C11" i="1"/>
  <c r="I56" i="3"/>
  <c r="H56" i="3"/>
  <c r="G56" i="3"/>
  <c r="F56" i="3"/>
  <c r="E56" i="3"/>
  <c r="D56" i="3"/>
  <c r="C56" i="3"/>
  <c r="I43" i="3"/>
  <c r="H43" i="3"/>
  <c r="G43" i="3"/>
  <c r="F43" i="3"/>
  <c r="E43" i="3"/>
  <c r="D43" i="3"/>
  <c r="C43" i="3"/>
  <c r="I56" i="2"/>
  <c r="H56" i="2"/>
  <c r="G56" i="2"/>
  <c r="F56" i="2"/>
  <c r="E56" i="2"/>
  <c r="D56" i="2"/>
  <c r="C56" i="2"/>
  <c r="I47" i="2"/>
  <c r="H47" i="2"/>
  <c r="G47" i="2"/>
  <c r="F47" i="2"/>
  <c r="E47" i="2"/>
  <c r="D47" i="2"/>
  <c r="C47" i="2"/>
  <c r="I40" i="2"/>
  <c r="H40" i="2"/>
  <c r="G40" i="2"/>
  <c r="F40" i="2"/>
  <c r="E40" i="2"/>
  <c r="D40" i="2"/>
  <c r="C40" i="2"/>
  <c r="I27" i="2"/>
  <c r="H27" i="2"/>
  <c r="G27" i="2"/>
  <c r="F27" i="2"/>
  <c r="E27" i="2"/>
  <c r="D27" i="2"/>
  <c r="C27" i="2"/>
  <c r="I17" i="2"/>
  <c r="H17" i="2"/>
  <c r="G17" i="2"/>
  <c r="F17" i="2"/>
  <c r="E17" i="2"/>
  <c r="D17" i="2"/>
  <c r="C17" i="2"/>
  <c r="I28" i="1"/>
  <c r="H28" i="1"/>
  <c r="G28" i="1"/>
  <c r="F28" i="1"/>
  <c r="E28" i="1"/>
  <c r="D28" i="1"/>
  <c r="C28" i="1"/>
  <c r="I21" i="1"/>
  <c r="H21" i="1"/>
  <c r="G21" i="1"/>
  <c r="F21" i="1"/>
  <c r="E21" i="1"/>
  <c r="D21" i="1"/>
  <c r="C21" i="1"/>
  <c r="H13" i="1" l="1"/>
  <c r="D8" i="11"/>
  <c r="C11" i="11"/>
  <c r="I13" i="1"/>
  <c r="I23" i="1" s="1"/>
  <c r="I45" i="1" s="1"/>
  <c r="I102" i="9"/>
  <c r="J20" i="9"/>
  <c r="I90" i="9"/>
  <c r="I96" i="9"/>
  <c r="H90" i="9"/>
  <c r="H96" i="9"/>
  <c r="E90" i="9"/>
  <c r="E96" i="9"/>
  <c r="I62" i="9"/>
  <c r="I84" i="9"/>
  <c r="H62" i="9"/>
  <c r="H84" i="9"/>
  <c r="E62" i="9"/>
  <c r="E84" i="9"/>
  <c r="I49" i="9"/>
  <c r="I56" i="9"/>
  <c r="H49" i="9"/>
  <c r="H56" i="9"/>
  <c r="E49" i="9"/>
  <c r="E56" i="9"/>
  <c r="I37" i="9"/>
  <c r="I43" i="9"/>
  <c r="H37" i="9"/>
  <c r="H43" i="9"/>
  <c r="E37" i="9"/>
  <c r="E43" i="9"/>
  <c r="I25" i="9"/>
  <c r="I31" i="9"/>
  <c r="H25" i="9"/>
  <c r="H31" i="9"/>
  <c r="E25" i="9"/>
  <c r="E31" i="9"/>
  <c r="E13" i="1"/>
  <c r="E23" i="1" s="1"/>
  <c r="E30" i="1" s="1"/>
  <c r="I20" i="9"/>
  <c r="G13" i="1"/>
  <c r="G23" i="1" s="1"/>
  <c r="G45" i="1" s="1"/>
  <c r="G19" i="9"/>
  <c r="F13" i="1"/>
  <c r="F23" i="1" s="1"/>
  <c r="F45" i="1" s="1"/>
  <c r="F19" i="9"/>
  <c r="D13" i="1"/>
  <c r="D23" i="1" s="1"/>
  <c r="D45" i="1" s="1"/>
  <c r="D19" i="9"/>
  <c r="C13" i="1"/>
  <c r="C23" i="1" s="1"/>
  <c r="C45" i="1" s="1"/>
  <c r="C19" i="9"/>
  <c r="C102" i="9" s="1"/>
  <c r="G49" i="2"/>
  <c r="G58" i="2" s="1"/>
  <c r="H49" i="2"/>
  <c r="H58" i="2" s="1"/>
  <c r="C49" i="2"/>
  <c r="C58" i="2" s="1"/>
  <c r="I29" i="2"/>
  <c r="G29" i="2"/>
  <c r="H29" i="2"/>
  <c r="C29" i="2"/>
  <c r="I49" i="2"/>
  <c r="I58" i="2" s="1"/>
  <c r="D29" i="2"/>
  <c r="F49" i="2"/>
  <c r="F58" i="2" s="1"/>
  <c r="E29" i="2"/>
  <c r="E49" i="2"/>
  <c r="E58" i="2" s="1"/>
  <c r="D49" i="2"/>
  <c r="D58" i="2" s="1"/>
  <c r="F29" i="2"/>
  <c r="H23" i="1"/>
  <c r="H45" i="1" s="1"/>
  <c r="C12" i="11" l="1"/>
  <c r="C18" i="11"/>
  <c r="G96" i="9"/>
  <c r="G102" i="9"/>
  <c r="F96" i="9"/>
  <c r="F102" i="9"/>
  <c r="D96" i="9"/>
  <c r="D102" i="9"/>
  <c r="J95" i="9"/>
  <c r="J13" i="10" s="1"/>
  <c r="J101" i="9"/>
  <c r="J14" i="10" s="1"/>
  <c r="C90" i="9"/>
  <c r="C96" i="9"/>
  <c r="G84" i="9"/>
  <c r="G90" i="9"/>
  <c r="F84" i="9"/>
  <c r="F90" i="9"/>
  <c r="D84" i="9"/>
  <c r="D90" i="9"/>
  <c r="J83" i="9"/>
  <c r="J9" i="10" s="1"/>
  <c r="J89" i="9"/>
  <c r="J10" i="10" s="1"/>
  <c r="C62" i="9"/>
  <c r="C84" i="9"/>
  <c r="E32" i="1"/>
  <c r="E9" i="3" s="1"/>
  <c r="E29" i="3" s="1"/>
  <c r="E60" i="3" s="1"/>
  <c r="E76" i="9"/>
  <c r="G56" i="9"/>
  <c r="G62" i="9"/>
  <c r="F56" i="9"/>
  <c r="F62" i="9"/>
  <c r="D56" i="9"/>
  <c r="D62" i="9"/>
  <c r="J55" i="9"/>
  <c r="J61" i="9"/>
  <c r="D27" i="11" s="1"/>
  <c r="C49" i="9"/>
  <c r="C56" i="9"/>
  <c r="G43" i="9"/>
  <c r="G49" i="9"/>
  <c r="F43" i="9"/>
  <c r="F49" i="9"/>
  <c r="D43" i="9"/>
  <c r="D49" i="9"/>
  <c r="J42" i="9"/>
  <c r="D16" i="11" s="1"/>
  <c r="J48" i="9"/>
  <c r="D26" i="11" s="1"/>
  <c r="C37" i="9"/>
  <c r="C43" i="9"/>
  <c r="G31" i="9"/>
  <c r="G37" i="9"/>
  <c r="F31" i="9"/>
  <c r="F37" i="9"/>
  <c r="D31" i="9"/>
  <c r="D37" i="9"/>
  <c r="J30" i="9"/>
  <c r="D14" i="11" s="1"/>
  <c r="J36" i="9"/>
  <c r="D15" i="11" s="1"/>
  <c r="C25" i="9"/>
  <c r="C31" i="9"/>
  <c r="H20" i="9"/>
  <c r="G25" i="9"/>
  <c r="F20" i="9"/>
  <c r="F25" i="9"/>
  <c r="E20" i="9"/>
  <c r="D25" i="9"/>
  <c r="J24" i="9"/>
  <c r="D9" i="11" s="1"/>
  <c r="D11" i="11" s="1"/>
  <c r="G20" i="9"/>
  <c r="D20" i="9"/>
  <c r="H60" i="2"/>
  <c r="I60" i="2"/>
  <c r="C30" i="1"/>
  <c r="G60" i="2"/>
  <c r="H30" i="1"/>
  <c r="C60" i="2"/>
  <c r="I30" i="1"/>
  <c r="F30" i="1"/>
  <c r="D60" i="2"/>
  <c r="F60" i="2"/>
  <c r="E60" i="2"/>
  <c r="E45" i="1"/>
  <c r="D30" i="1"/>
  <c r="G30" i="1"/>
  <c r="C19" i="11" l="1"/>
  <c r="D12" i="11"/>
  <c r="D18" i="11"/>
  <c r="J17" i="10"/>
  <c r="J11" i="10"/>
  <c r="K95" i="9"/>
  <c r="K13" i="10" s="1"/>
  <c r="K101" i="9"/>
  <c r="K14" i="10" s="1"/>
  <c r="K83" i="9"/>
  <c r="K9" i="10" s="1"/>
  <c r="K89" i="9"/>
  <c r="K10" i="10" s="1"/>
  <c r="I32" i="1"/>
  <c r="I9" i="3" s="1"/>
  <c r="I29" i="3" s="1"/>
  <c r="I60" i="3" s="1"/>
  <c r="I76" i="9"/>
  <c r="C21" i="11" s="1"/>
  <c r="C22" i="11" s="1"/>
  <c r="H32" i="1"/>
  <c r="H9" i="3" s="1"/>
  <c r="H29" i="3" s="1"/>
  <c r="H60" i="3" s="1"/>
  <c r="H76" i="9"/>
  <c r="G32" i="1"/>
  <c r="G9" i="3" s="1"/>
  <c r="G29" i="3" s="1"/>
  <c r="G60" i="3" s="1"/>
  <c r="G76" i="9"/>
  <c r="F32" i="1"/>
  <c r="F9" i="3" s="1"/>
  <c r="F29" i="3" s="1"/>
  <c r="F60" i="3" s="1"/>
  <c r="F76" i="9"/>
  <c r="D32" i="1"/>
  <c r="D9" i="3" s="1"/>
  <c r="D29" i="3" s="1"/>
  <c r="D60" i="3" s="1"/>
  <c r="D76" i="9"/>
  <c r="C32" i="1"/>
  <c r="C9" i="3" s="1"/>
  <c r="C29" i="3" s="1"/>
  <c r="C60" i="3" s="1"/>
  <c r="C63" i="3" s="1"/>
  <c r="D62" i="3" s="1"/>
  <c r="C76" i="9"/>
  <c r="K55" i="9"/>
  <c r="K61" i="9"/>
  <c r="E27" i="11" s="1"/>
  <c r="K42" i="9"/>
  <c r="E16" i="11" s="1"/>
  <c r="K48" i="9"/>
  <c r="E26" i="11" s="1"/>
  <c r="K30" i="9"/>
  <c r="E14" i="11" s="1"/>
  <c r="K36" i="9"/>
  <c r="E15" i="11" s="1"/>
  <c r="K24" i="9"/>
  <c r="E9" i="11" s="1"/>
  <c r="E11" i="11" s="1"/>
  <c r="C23" i="11" l="1"/>
  <c r="D19" i="11"/>
  <c r="D21" i="11"/>
  <c r="D22" i="11" s="1"/>
  <c r="E12" i="11"/>
  <c r="E18" i="11"/>
  <c r="J19" i="10"/>
  <c r="J20" i="10" s="1"/>
  <c r="D28" i="11" s="1"/>
  <c r="K17" i="10"/>
  <c r="K11" i="10"/>
  <c r="L95" i="9"/>
  <c r="L13" i="10" s="1"/>
  <c r="L101" i="9"/>
  <c r="L14" i="10" s="1"/>
  <c r="L83" i="9"/>
  <c r="L9" i="10" s="1"/>
  <c r="L89" i="9"/>
  <c r="L10" i="10" s="1"/>
  <c r="D63" i="3"/>
  <c r="E62" i="3" s="1"/>
  <c r="E63" i="3" s="1"/>
  <c r="F62" i="3" s="1"/>
  <c r="F63" i="3" s="1"/>
  <c r="G62" i="3" s="1"/>
  <c r="G63" i="3" s="1"/>
  <c r="H62" i="3" s="1"/>
  <c r="H63" i="3" s="1"/>
  <c r="I62" i="3" s="1"/>
  <c r="I63" i="3" s="1"/>
  <c r="L55" i="9"/>
  <c r="L61" i="9"/>
  <c r="F27" i="11" s="1"/>
  <c r="L42" i="9"/>
  <c r="F16" i="11" s="1"/>
  <c r="L48" i="9"/>
  <c r="F26" i="11" s="1"/>
  <c r="L30" i="9"/>
  <c r="F14" i="11" s="1"/>
  <c r="L36" i="9"/>
  <c r="F15" i="11" s="1"/>
  <c r="L24" i="9"/>
  <c r="F9" i="11" s="1"/>
  <c r="F11" i="11" s="1"/>
  <c r="C24" i="11" l="1"/>
  <c r="C29" i="11"/>
  <c r="C30" i="11" s="1"/>
  <c r="D23" i="11"/>
  <c r="E19" i="11"/>
  <c r="E21" i="11"/>
  <c r="E22" i="11" s="1"/>
  <c r="F12" i="11"/>
  <c r="F18" i="11"/>
  <c r="K19" i="10"/>
  <c r="K20" i="10" s="1"/>
  <c r="E28" i="11" s="1"/>
  <c r="L17" i="10"/>
  <c r="L11" i="10"/>
  <c r="M95" i="9"/>
  <c r="M13" i="10" s="1"/>
  <c r="M101" i="9"/>
  <c r="M14" i="10" s="1"/>
  <c r="M83" i="9"/>
  <c r="M9" i="10" s="1"/>
  <c r="M89" i="9"/>
  <c r="M10" i="10" s="1"/>
  <c r="M55" i="9"/>
  <c r="M61" i="9"/>
  <c r="G27" i="11" s="1"/>
  <c r="M42" i="9"/>
  <c r="G16" i="11" s="1"/>
  <c r="M48" i="9"/>
  <c r="G26" i="11" s="1"/>
  <c r="M30" i="9"/>
  <c r="G14" i="11" s="1"/>
  <c r="M36" i="9"/>
  <c r="G15" i="11" s="1"/>
  <c r="M24" i="9"/>
  <c r="G9" i="11" s="1"/>
  <c r="G11" i="11" s="1"/>
  <c r="D24" i="11" l="1"/>
  <c r="D29" i="11"/>
  <c r="E23" i="11"/>
  <c r="F19" i="11"/>
  <c r="F21" i="11"/>
  <c r="F22" i="11" s="1"/>
  <c r="G12" i="11"/>
  <c r="G18" i="11"/>
  <c r="L19" i="10"/>
  <c r="L20" i="10" s="1"/>
  <c r="F28" i="11" s="1"/>
  <c r="M17" i="10"/>
  <c r="M11" i="10"/>
  <c r="N95" i="9"/>
  <c r="N13" i="10" s="1"/>
  <c r="N101" i="9"/>
  <c r="N14" i="10" s="1"/>
  <c r="N83" i="9"/>
  <c r="N9" i="10" s="1"/>
  <c r="N89" i="9"/>
  <c r="N10" i="10" s="1"/>
  <c r="N55" i="9"/>
  <c r="N61" i="9"/>
  <c r="H27" i="11" s="1"/>
  <c r="N42" i="9"/>
  <c r="H16" i="11" s="1"/>
  <c r="N48" i="9"/>
  <c r="H26" i="11" s="1"/>
  <c r="N30" i="9"/>
  <c r="H14" i="11" s="1"/>
  <c r="N36" i="9"/>
  <c r="H15" i="11" s="1"/>
  <c r="O101" i="9"/>
  <c r="O14" i="10" s="1"/>
  <c r="N24" i="9"/>
  <c r="H9" i="11" s="1"/>
  <c r="H11" i="11" s="1"/>
  <c r="D30" i="11" l="1"/>
  <c r="D35" i="11"/>
  <c r="E24" i="11"/>
  <c r="E29" i="11"/>
  <c r="F23" i="11"/>
  <c r="G19" i="11"/>
  <c r="G21" i="11"/>
  <c r="G22" i="11" s="1"/>
  <c r="H12" i="11"/>
  <c r="H18" i="11"/>
  <c r="M19" i="10"/>
  <c r="M20" i="10" s="1"/>
  <c r="G28" i="11" s="1"/>
  <c r="N17" i="10"/>
  <c r="N11" i="10"/>
  <c r="O89" i="9"/>
  <c r="O10" i="10" s="1"/>
  <c r="O95" i="9"/>
  <c r="O13" i="10" s="1"/>
  <c r="O17" i="10" s="1"/>
  <c r="O61" i="9"/>
  <c r="I27" i="11" s="1"/>
  <c r="O83" i="9"/>
  <c r="O9" i="10" s="1"/>
  <c r="O48" i="9"/>
  <c r="I26" i="11" s="1"/>
  <c r="O55" i="9"/>
  <c r="O36" i="9"/>
  <c r="I15" i="11" s="1"/>
  <c r="O42" i="9"/>
  <c r="I16" i="11" s="1"/>
  <c r="O24" i="9"/>
  <c r="I9" i="11" s="1"/>
  <c r="I11" i="11" s="1"/>
  <c r="O30" i="9"/>
  <c r="I14" i="11" s="1"/>
  <c r="E30" i="11" l="1"/>
  <c r="E35" i="11"/>
  <c r="F24" i="11"/>
  <c r="F29" i="11"/>
  <c r="G23" i="11"/>
  <c r="H19" i="11"/>
  <c r="H21" i="11"/>
  <c r="H22" i="11" s="1"/>
  <c r="I12" i="11"/>
  <c r="I18" i="11"/>
  <c r="M6" i="11" s="1"/>
  <c r="O11" i="10"/>
  <c r="O19" i="10" s="1"/>
  <c r="N19" i="10"/>
  <c r="N20" i="10" s="1"/>
  <c r="H28" i="11" s="1"/>
  <c r="M8" i="11" l="1"/>
  <c r="M10" i="11" s="1"/>
  <c r="F30" i="11"/>
  <c r="F35" i="11"/>
  <c r="G24" i="11"/>
  <c r="G29" i="11"/>
  <c r="H23" i="11"/>
  <c r="I19" i="11"/>
  <c r="I21" i="11"/>
  <c r="I22" i="11" s="1"/>
  <c r="O20" i="10"/>
  <c r="I28" i="11" s="1"/>
  <c r="G30" i="11" l="1"/>
  <c r="G35" i="11"/>
  <c r="H24" i="11"/>
  <c r="H29" i="11"/>
  <c r="I23" i="11"/>
  <c r="H30" i="11" l="1"/>
  <c r="H35" i="11"/>
  <c r="I24" i="11"/>
  <c r="I29" i="11"/>
  <c r="D64" i="11" s="1"/>
  <c r="E61" i="11" l="1"/>
  <c r="D62" i="11"/>
  <c r="F61" i="11"/>
  <c r="H59" i="11"/>
  <c r="C60" i="11"/>
  <c r="G58" i="11"/>
  <c r="F63" i="11"/>
  <c r="D58" i="11"/>
  <c r="I59" i="11"/>
  <c r="F62" i="11"/>
  <c r="I50" i="11"/>
  <c r="F64" i="11"/>
  <c r="C59" i="11"/>
  <c r="H60" i="11"/>
  <c r="G62" i="11"/>
  <c r="F59" i="11"/>
  <c r="D61" i="11"/>
  <c r="G59" i="11"/>
  <c r="C61" i="11"/>
  <c r="G60" i="11"/>
  <c r="H64" i="11"/>
  <c r="I61" i="11"/>
  <c r="C64" i="11"/>
  <c r="E63" i="11"/>
  <c r="C63" i="11"/>
  <c r="E62" i="11"/>
  <c r="H61" i="11"/>
  <c r="E60" i="11"/>
  <c r="E64" i="11"/>
  <c r="D59" i="11"/>
  <c r="D60" i="11"/>
  <c r="G63" i="11"/>
  <c r="I60" i="11"/>
  <c r="H58" i="11"/>
  <c r="H62" i="11"/>
  <c r="E58" i="11"/>
  <c r="I64" i="11"/>
  <c r="C62" i="11"/>
  <c r="I63" i="11"/>
  <c r="I58" i="11"/>
  <c r="F60" i="11"/>
  <c r="I62" i="11"/>
  <c r="D63" i="11"/>
  <c r="E59" i="11"/>
  <c r="G61" i="11"/>
  <c r="H63" i="11"/>
  <c r="F58" i="11"/>
  <c r="G64" i="11"/>
  <c r="G49" i="11"/>
  <c r="G44" i="11"/>
  <c r="I44" i="11"/>
  <c r="G50" i="11"/>
  <c r="D47" i="11"/>
  <c r="I49" i="11"/>
  <c r="C58" i="11"/>
  <c r="E45" i="11"/>
  <c r="F45" i="11"/>
  <c r="C46" i="11"/>
  <c r="D45" i="11"/>
  <c r="H49" i="11"/>
  <c r="H44" i="11"/>
  <c r="D50" i="11"/>
  <c r="I48" i="11"/>
  <c r="H45" i="11"/>
  <c r="F46" i="11"/>
  <c r="C45" i="11"/>
  <c r="E50" i="11"/>
  <c r="G48" i="11"/>
  <c r="G47" i="11"/>
  <c r="D46" i="11"/>
  <c r="C50" i="11"/>
  <c r="C49" i="11"/>
  <c r="I45" i="11"/>
  <c r="F50" i="11"/>
  <c r="F48" i="11"/>
  <c r="F49" i="11"/>
  <c r="E44" i="11"/>
  <c r="D49" i="11"/>
  <c r="E48" i="11"/>
  <c r="D48" i="11"/>
  <c r="D44" i="11"/>
  <c r="F44" i="11"/>
  <c r="H46" i="11"/>
  <c r="H47" i="11"/>
  <c r="I46" i="11"/>
  <c r="I47" i="11"/>
  <c r="C47" i="11"/>
  <c r="C48" i="11"/>
  <c r="H48" i="11"/>
  <c r="H50" i="11"/>
  <c r="E47" i="11"/>
  <c r="F47" i="11"/>
  <c r="E49" i="11"/>
  <c r="E46" i="11"/>
  <c r="G46" i="11"/>
  <c r="G45" i="11"/>
  <c r="C44" i="11"/>
  <c r="Q6" i="11"/>
  <c r="M13" i="11"/>
  <c r="I30" i="11"/>
  <c r="I35" i="11"/>
  <c r="Q8" i="11" l="1"/>
  <c r="Q10" i="11" s="1"/>
  <c r="I37" i="11"/>
  <c r="Q11" i="11" s="1"/>
  <c r="Q12" i="11" l="1"/>
  <c r="Q13" i="11" s="1"/>
  <c r="M11" i="11"/>
  <c r="M12" i="11" s="1"/>
  <c r="M16" i="11" s="1"/>
  <c r="M18" i="11" s="1"/>
  <c r="M19" i="11" s="1"/>
  <c r="Q16" i="11" l="1"/>
  <c r="Q18" i="11" s="1"/>
  <c r="Q19" i="11" s="1"/>
  <c r="Q25" i="11" s="1"/>
  <c r="Q24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bhav p</author>
  </authors>
  <commentList>
    <comment ref="F6" authorId="0" shapeId="0" xr:uid="{0D87910F-FBF1-4B70-9EDC-1BD10F3B7785}">
      <text>
        <r>
          <rPr>
            <sz val="9"/>
            <color indexed="81"/>
            <rFont val="Tahoma"/>
            <family val="2"/>
          </rPr>
          <t>Please select the correspoding scenario you wish to see calculated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bhav p</author>
  </authors>
  <commentList>
    <comment ref="H5" authorId="0" shapeId="0" xr:uid="{D349C5DF-D022-480C-8992-7FA069B995E8}">
      <text>
        <r>
          <rPr>
            <b/>
            <sz val="9"/>
            <color indexed="81"/>
            <rFont val="Tahoma"/>
            <family val="2"/>
          </rPr>
          <t>bhav p:</t>
        </r>
        <r>
          <rPr>
            <sz val="9"/>
            <color indexed="81"/>
            <rFont val="Tahoma"/>
            <family val="2"/>
          </rPr>
          <t xml:space="preserve">
⚠️ REVENUE RECLASSIFICATION IN FY2024
Intuit restructured its revenue segment reporting starting in FY2024. The LSEG/Refinitiv data source used in this model did NOT restate prior years on the new basis, creating an artificial break in the Service Revenue and Product &amp; Other Revenue time series.
PRE-FY2024 DEFINITIONS:
• "Service Revenue" (~$2B): Primarily ProTax (professional tax) and smaller ancillary service fees.
• "Product &amp; Other Revenue" (~$12B): The bulk of Intuit's business — QuickBooks Online, TurboTax (DIY + Live), Credit Karma, Mailchimp, desktop software licenses, and other product revenue.
POST-FY2024 DEFINITIONS:
• "Service Revenue" (~$14B): Now includes all subscription/platform revenue — QuickBooks Online ecosystem, TurboTax Live, Credit Karma, Mailchimp, and professional tax services. This is the core high-growth engine.
• "Product &amp; Other Revenue" (~$2.4B): Residual category — legacy desktop software licenses (QuickBooks Desktop, TurboTax Desktop), one-time fees, and other non-subscription items.
IMPACT ON THIS MODEL:
• The apparent -80% drop in Product Revenue from FY2023 ($12,398M) to FY2024 ($2,424M) is NOT an organic decline. It is entirely due to ~$10B+ of subscription revenues being reclassified into Service Revenue.
• Similarly, Service Revenue's apparent 603% jump from $1,970M to $13,861M is a reclassification artifact, not organic growth.
• Year-over-year growth rates for these two sub-lines are only comparable from FY2024 onward.
• Total Revenue ($14,368M → $16,285M, +13.3% in FY2024) is unaffected by the reclassification and remains a reliable growth metric across all years.
• On the new basis, Product &amp; Other Revenue was essentially flat in FY2025 (+0.3%), consistent with gradual legacy desktop attrition as Intuit shifts customers to cloud subscriptions.</t>
        </r>
      </text>
    </comment>
  </commentList>
</comments>
</file>

<file path=xl/sharedStrings.xml><?xml version="1.0" encoding="utf-8"?>
<sst xmlns="http://schemas.openxmlformats.org/spreadsheetml/2006/main" count="425" uniqueCount="289">
  <si>
    <t>Intuit Inc (INTU.O)</t>
  </si>
  <si>
    <t>Income Statement</t>
  </si>
  <si>
    <t>USD in Millions</t>
  </si>
  <si>
    <t>Historical Periods</t>
  </si>
  <si>
    <t>Revenue</t>
  </si>
  <si>
    <t>Cost of Revenue</t>
  </si>
  <si>
    <t>Gross Profit</t>
  </si>
  <si>
    <t>Operating Expenses</t>
  </si>
  <si>
    <t xml:space="preserve">  Selling &amp; Marketing</t>
  </si>
  <si>
    <t xml:space="preserve">  Research &amp; Development</t>
  </si>
  <si>
    <t xml:space="preserve">  General &amp; Administrative</t>
  </si>
  <si>
    <t xml:space="preserve">  Amortization of Intangibles</t>
  </si>
  <si>
    <t xml:space="preserve">  Restructuring</t>
  </si>
  <si>
    <t>Total Operating Expenses</t>
  </si>
  <si>
    <t>Operating Income</t>
  </si>
  <si>
    <t>Other Income / (Expense)</t>
  </si>
  <si>
    <t xml:space="preserve">  Interest Expense</t>
  </si>
  <si>
    <t xml:space="preserve">  Other Income (Expense), Net</t>
  </si>
  <si>
    <t>Total Other Income / (Expense)</t>
  </si>
  <si>
    <t>Income Before Income Taxes</t>
  </si>
  <si>
    <t>Income Tax Provision</t>
  </si>
  <si>
    <t>Net Income</t>
  </si>
  <si>
    <t>Earnings Per Share</t>
  </si>
  <si>
    <t xml:space="preserve">  Basic EPS</t>
  </si>
  <si>
    <t xml:space="preserve">  Diluted EPS</t>
  </si>
  <si>
    <t>Shares Outstanding</t>
  </si>
  <si>
    <t xml:space="preserve">  Basic (millions)</t>
  </si>
  <si>
    <t xml:space="preserve">  Diluted (millions)</t>
  </si>
  <si>
    <t>Supplemental</t>
  </si>
  <si>
    <t xml:space="preserve">  D&amp;A</t>
  </si>
  <si>
    <t xml:space="preserve">  Stock-Based Compensation</t>
  </si>
  <si>
    <t xml:space="preserve">  EBITDA</t>
  </si>
  <si>
    <t>Balance Sheet</t>
  </si>
  <si>
    <t>ASSETS</t>
  </si>
  <si>
    <t>Current Assets</t>
  </si>
  <si>
    <t xml:space="preserve">  Cash &amp; Cash Equivalents</t>
  </si>
  <si>
    <t xml:space="preserve">  Short-Term Investments</t>
  </si>
  <si>
    <t xml:space="preserve">  Accounts Receivable, Net</t>
  </si>
  <si>
    <t xml:space="preserve">  Notes Receivable</t>
  </si>
  <si>
    <t xml:space="preserve">  Income Taxes Receivable</t>
  </si>
  <si>
    <t xml:space="preserve">  Prepaid Expenses &amp; Other</t>
  </si>
  <si>
    <t xml:space="preserve">  Funds Receivable &amp; Customer Deposits</t>
  </si>
  <si>
    <t>Total Current Assets</t>
  </si>
  <si>
    <t>Non-Current Assets</t>
  </si>
  <si>
    <t xml:space="preserve">  Long-Term Investments</t>
  </si>
  <si>
    <t xml:space="preserve">  Property &amp; Equipment, Net</t>
  </si>
  <si>
    <t xml:space="preserve">  Operating Lease ROU Assets</t>
  </si>
  <si>
    <t xml:space="preserve">  Goodwill</t>
  </si>
  <si>
    <t xml:space="preserve">  Intangible Assets, Net</t>
  </si>
  <si>
    <t xml:space="preserve">  Deferred Income Tax Assets</t>
  </si>
  <si>
    <t xml:space="preserve">  Other Non-Current Assets</t>
  </si>
  <si>
    <t>Total Non-Current Assets</t>
  </si>
  <si>
    <t>Total Assets</t>
  </si>
  <si>
    <t>LIABILITIES &amp; EQUITY</t>
  </si>
  <si>
    <t>Current Liabilities</t>
  </si>
  <si>
    <t xml:space="preserve">  Short-Term Debt</t>
  </si>
  <si>
    <t xml:space="preserve">  Accounts Payable</t>
  </si>
  <si>
    <t xml:space="preserve">  Accrued Compensation &amp; Benefits</t>
  </si>
  <si>
    <t xml:space="preserve">  Deferred Revenue (Current)</t>
  </si>
  <si>
    <t xml:space="preserve">  Operating Lease Liabilities (Current)</t>
  </si>
  <si>
    <t xml:space="preserve">  Funds Payable &amp; Customer Deposits</t>
  </si>
  <si>
    <t xml:space="preserve">  Other Current Liabilities</t>
  </si>
  <si>
    <t>Total Current Liabilities</t>
  </si>
  <si>
    <t>Non-Current Liabilities</t>
  </si>
  <si>
    <t xml:space="preserve">  Long-Term Debt</t>
  </si>
  <si>
    <t xml:space="preserve">  Operating Lease Liabilities (LT)</t>
  </si>
  <si>
    <t xml:space="preserve">  Deferred Income Tax Liabilities</t>
  </si>
  <si>
    <t xml:space="preserve">  Other Non-Current Liabilities</t>
  </si>
  <si>
    <t>Total Non-Current Liabilities</t>
  </si>
  <si>
    <t>Total Liabilities</t>
  </si>
  <si>
    <t>Stockholders' Equity</t>
  </si>
  <si>
    <t xml:space="preserve">  Common Stock &amp; APIC</t>
  </si>
  <si>
    <t xml:space="preserve">  Treasury Stock</t>
  </si>
  <si>
    <t xml:space="preserve">  Accumulated Other Comprehensive Loss</t>
  </si>
  <si>
    <t xml:space="preserve">  Retained Earnings</t>
  </si>
  <si>
    <t>Total Stockholders' Equity</t>
  </si>
  <si>
    <t>Total Liabilities &amp; Equity</t>
  </si>
  <si>
    <t>Balance Check</t>
  </si>
  <si>
    <t>Cash Flow Statement</t>
  </si>
  <si>
    <t>Cash Flows from Operating Activities</t>
  </si>
  <si>
    <t xml:space="preserve">  Net Income</t>
  </si>
  <si>
    <t xml:space="preserve">  Adjustments to Reconcile Net Income:</t>
  </si>
  <si>
    <t xml:space="preserve">    Depreciation</t>
  </si>
  <si>
    <t xml:space="preserve">    Amortization of Intangibles</t>
  </si>
  <si>
    <t xml:space="preserve">    Non-Cash Lease Cost</t>
  </si>
  <si>
    <t xml:space="preserve">    Stock-Based Compensation</t>
  </si>
  <si>
    <t xml:space="preserve">    Deferred Income Taxes</t>
  </si>
  <si>
    <t xml:space="preserve">    Originations of Loans Held for Sale</t>
  </si>
  <si>
    <t xml:space="preserve">    Repayments of Loans Held for Sale</t>
  </si>
  <si>
    <t xml:space="preserve">    Other Non-Cash Items</t>
  </si>
  <si>
    <t xml:space="preserve">  Changes in Working Capital:</t>
  </si>
  <si>
    <t xml:space="preserve">    Accounts Receivable</t>
  </si>
  <si>
    <t xml:space="preserve">    Income Taxes Receivable</t>
  </si>
  <si>
    <t xml:space="preserve">    Prepaid Expenses &amp; Other Assets</t>
  </si>
  <si>
    <t xml:space="preserve">    Accounts Payable</t>
  </si>
  <si>
    <t xml:space="preserve">    Accrued Compensation &amp; Liabilities</t>
  </si>
  <si>
    <t xml:space="preserve">    Deferred Revenue</t>
  </si>
  <si>
    <t xml:space="preserve">    Income Taxes Payable</t>
  </si>
  <si>
    <t xml:space="preserve">    Operating Lease Liabilities</t>
  </si>
  <si>
    <t xml:space="preserve">    Other Liabilities</t>
  </si>
  <si>
    <t>Net Cash from Operating Activities</t>
  </si>
  <si>
    <t>Cash Flows from Investing Activities</t>
  </si>
  <si>
    <t xml:space="preserve">  Purchases of Investments</t>
  </si>
  <si>
    <t xml:space="preserve">  Sales of Investments</t>
  </si>
  <si>
    <t xml:space="preserve">  Maturities of Investments</t>
  </si>
  <si>
    <t xml:space="preserve">  Purchases of Property &amp; Equipment</t>
  </si>
  <si>
    <t xml:space="preserve">  Capitalized Software</t>
  </si>
  <si>
    <t xml:space="preserve">  Acquisitions, Net of Cash</t>
  </si>
  <si>
    <t xml:space="preserve">  Originations of Loans (Investing)</t>
  </si>
  <si>
    <t xml:space="preserve">  Repayments of Loans (Investing)</t>
  </si>
  <si>
    <t xml:space="preserve">  Sales of Loans (Investing)</t>
  </si>
  <si>
    <t xml:space="preserve">  Other Investing Activities</t>
  </si>
  <si>
    <t xml:space="preserve">  Customer Fund Deposits, Net</t>
  </si>
  <si>
    <t>Net Cash from Investing Activities</t>
  </si>
  <si>
    <t>Cash Flows from Financing Activities</t>
  </si>
  <si>
    <t xml:space="preserve">  Proceeds from Long-Term Debt</t>
  </si>
  <si>
    <t xml:space="preserve">  Proceeds from Credit Facility</t>
  </si>
  <si>
    <t xml:space="preserve">  Repayments of Credit Facility</t>
  </si>
  <si>
    <t xml:space="preserve">  Repayments of Debt</t>
  </si>
  <si>
    <t xml:space="preserve">  Proceeds from Stock Issuance</t>
  </si>
  <si>
    <t xml:space="preserve">  Tax Withholding on RSU Vesting</t>
  </si>
  <si>
    <t xml:space="preserve">  Share Repurchases</t>
  </si>
  <si>
    <t xml:space="preserve">  Dividends Paid</t>
  </si>
  <si>
    <t xml:space="preserve">  Customer Funds Payable, Net</t>
  </si>
  <si>
    <t xml:space="preserve">  Other Financing Activities</t>
  </si>
  <si>
    <t>Net Cash from Financing Activities</t>
  </si>
  <si>
    <t>Effect of FX on Cash</t>
  </si>
  <si>
    <t>Net Change in Cash</t>
  </si>
  <si>
    <t>Cash at Beginning of Period</t>
  </si>
  <si>
    <t>Cash at End of Period</t>
  </si>
  <si>
    <t xml:space="preserve">  Service Revenue</t>
  </si>
  <si>
    <t xml:space="preserve">  Product &amp; Other Revenue</t>
  </si>
  <si>
    <t>Operating Case Scenarios</t>
  </si>
  <si>
    <t>Operating Case</t>
  </si>
  <si>
    <t>Base</t>
  </si>
  <si>
    <t>Bull</t>
  </si>
  <si>
    <t>Bear</t>
  </si>
  <si>
    <t>Ticker</t>
  </si>
  <si>
    <t>Dsiplay Name</t>
  </si>
  <si>
    <t>Valuation Date</t>
  </si>
  <si>
    <t>AppLovin Share Price ($)</t>
  </si>
  <si>
    <t>Shares Outstanding (M)</t>
  </si>
  <si>
    <t>NASDAQ: INTU</t>
  </si>
  <si>
    <t>Intuit Inc</t>
  </si>
  <si>
    <t>06.03.2026</t>
  </si>
  <si>
    <t>Weighted Average Cost of Capital</t>
  </si>
  <si>
    <t>USD in millions, unless otherwise stated</t>
  </si>
  <si>
    <t>Inputs</t>
  </si>
  <si>
    <t>Cost of Debt Calculation</t>
  </si>
  <si>
    <t>Risk-Free Rate</t>
  </si>
  <si>
    <t>Equity Risk Premium</t>
  </si>
  <si>
    <t>Effective Tax Rate</t>
  </si>
  <si>
    <t>Current Share Price ($ not in mm)</t>
  </si>
  <si>
    <t>Diluted Shares Outstanding (mm)</t>
  </si>
  <si>
    <t>Market Value of Debt</t>
  </si>
  <si>
    <t>Pre-Tax Cost of Debt</t>
  </si>
  <si>
    <t>After-Tax Cost of Debt</t>
  </si>
  <si>
    <t>Cost of Equity Calculation</t>
  </si>
  <si>
    <t>Beta</t>
  </si>
  <si>
    <t>Cost of Equity</t>
  </si>
  <si>
    <t>Weighted Average Cost of Capital Calculation</t>
  </si>
  <si>
    <t>Total Value</t>
  </si>
  <si>
    <t>%</t>
  </si>
  <si>
    <t>Cost</t>
  </si>
  <si>
    <t>Market Value of Equity</t>
  </si>
  <si>
    <t>Total</t>
  </si>
  <si>
    <t>Credit Spread on A/A3 Rating</t>
  </si>
  <si>
    <t>Comparable Companies Analysis</t>
  </si>
  <si>
    <t>$ in millions, unless otherwise noted</t>
  </si>
  <si>
    <t>Valutation Metrics</t>
  </si>
  <si>
    <t>EV / Revenue</t>
  </si>
  <si>
    <t>EV / EBITDA</t>
  </si>
  <si>
    <t>Price / Earnings</t>
  </si>
  <si>
    <t>Company Name</t>
  </si>
  <si>
    <t>Share Price</t>
  </si>
  <si>
    <t>Market Cap.</t>
  </si>
  <si>
    <t>Total Debt</t>
  </si>
  <si>
    <t>Cash</t>
  </si>
  <si>
    <t>EV</t>
  </si>
  <si>
    <t>Summary Statistics</t>
  </si>
  <si>
    <t>10th Percentile</t>
  </si>
  <si>
    <t>25th Percentile</t>
  </si>
  <si>
    <t>Mean</t>
  </si>
  <si>
    <t>Median</t>
  </si>
  <si>
    <t>75th Percentile</t>
  </si>
  <si>
    <t>INTU</t>
  </si>
  <si>
    <t>Workday Inc</t>
  </si>
  <si>
    <t>WDAY</t>
  </si>
  <si>
    <t>Paycom Software Inc</t>
  </si>
  <si>
    <t>PAYC</t>
  </si>
  <si>
    <t>Paylocity Holding Corp</t>
  </si>
  <si>
    <t>PCTY</t>
  </si>
  <si>
    <t>Sage Group PLC</t>
  </si>
  <si>
    <t>SGE.L</t>
  </si>
  <si>
    <t>Autodesk Inc</t>
  </si>
  <si>
    <t>ADSK</t>
  </si>
  <si>
    <t>Tyler Technologies Inc</t>
  </si>
  <si>
    <t>TYL</t>
  </si>
  <si>
    <t>Paychex Inc</t>
  </si>
  <si>
    <t>PAYX</t>
  </si>
  <si>
    <t>Metrics &amp; Drivers</t>
  </si>
  <si>
    <t>Active Case:</t>
  </si>
  <si>
    <t>For Fiscal Year Ending</t>
  </si>
  <si>
    <t>2026E</t>
  </si>
  <si>
    <t>2027E</t>
  </si>
  <si>
    <t>2028E</t>
  </si>
  <si>
    <t>2029E</t>
  </si>
  <si>
    <t>2030E</t>
  </si>
  <si>
    <t>2031E</t>
  </si>
  <si>
    <t>% growth</t>
  </si>
  <si>
    <t>Costs &amp; Margins:</t>
  </si>
  <si>
    <t>% revenue</t>
  </si>
  <si>
    <t>Selling &amp; Marketing</t>
  </si>
  <si>
    <t>Research &amp; Development</t>
  </si>
  <si>
    <t>General &amp; Administrative</t>
  </si>
  <si>
    <t>Depreciation &amp; Amortization</t>
  </si>
  <si>
    <t>Other Operating Items:</t>
  </si>
  <si>
    <t>Stock-Based Compensation</t>
  </si>
  <si>
    <t>Capital Expenditures</t>
  </si>
  <si>
    <t>Other Income / Expense:</t>
  </si>
  <si>
    <t>Interest Expense</t>
  </si>
  <si>
    <t>Taxes:</t>
  </si>
  <si>
    <t>Historical rate</t>
  </si>
  <si>
    <t>NWC Drivers (% of Revenue)</t>
  </si>
  <si>
    <t>Accounts Receivable</t>
  </si>
  <si>
    <t>Prepaid Expenses &amp; Other</t>
  </si>
  <si>
    <t>Accounts Payable</t>
  </si>
  <si>
    <t>Accrued &amp; Other Current Liab.</t>
  </si>
  <si>
    <t>Terminal Value:</t>
  </si>
  <si>
    <t>Exit Multiple (EV/EBITDA)</t>
  </si>
  <si>
    <t>Service Revenue</t>
  </si>
  <si>
    <t>Product &amp; Other Revenue</t>
  </si>
  <si>
    <t>Net Working Capital</t>
  </si>
  <si>
    <t>Projected Periods</t>
  </si>
  <si>
    <t>Total Current Operating Assets</t>
  </si>
  <si>
    <t>Total Current Operating Liabilities</t>
  </si>
  <si>
    <t>Change in NWC</t>
  </si>
  <si>
    <t>2020A</t>
  </si>
  <si>
    <t>2021A</t>
  </si>
  <si>
    <t>2022A</t>
  </si>
  <si>
    <t>2023A</t>
  </si>
  <si>
    <t>2024A</t>
  </si>
  <si>
    <t>2025A</t>
  </si>
  <si>
    <t>Discounted Cash Flow Analysis</t>
  </si>
  <si>
    <t>Total Revenues</t>
  </si>
  <si>
    <t>% margin</t>
  </si>
  <si>
    <t>EBIT</t>
  </si>
  <si>
    <t>Taxes</t>
  </si>
  <si>
    <t>% effective tax rate</t>
  </si>
  <si>
    <t>NOPAT</t>
  </si>
  <si>
    <t>(+) D&amp;A</t>
  </si>
  <si>
    <t>(-) CapEx</t>
  </si>
  <si>
    <t>(-) Change in NWC</t>
  </si>
  <si>
    <t>Unlevered Free Cash Flow (UFCF)</t>
  </si>
  <si>
    <t>WACC:</t>
  </si>
  <si>
    <t>Discount Period</t>
  </si>
  <si>
    <t>Discount Factor</t>
  </si>
  <si>
    <t>Present Value of UFCF</t>
  </si>
  <si>
    <t>Sum of Present Value Cash Flows</t>
  </si>
  <si>
    <t>Exit Multiple Method</t>
  </si>
  <si>
    <t>2031E EBITDA</t>
  </si>
  <si>
    <t>Terminal Multiple</t>
  </si>
  <si>
    <t>Terminal Value</t>
  </si>
  <si>
    <t>Present Value of Terminal Value</t>
  </si>
  <si>
    <t>Sum of Cash Flows</t>
  </si>
  <si>
    <t>Total Enterprise Value</t>
  </si>
  <si>
    <t>Implied PGR</t>
  </si>
  <si>
    <t>Less: Debt</t>
  </si>
  <si>
    <t>Plus: Cash</t>
  </si>
  <si>
    <t>Total Equity Value</t>
  </si>
  <si>
    <t>Implied Share Price</t>
  </si>
  <si>
    <t>Upside / (Downside)</t>
  </si>
  <si>
    <t>Sipher Street</t>
  </si>
  <si>
    <t>Analyst: Bhavya Patel</t>
  </si>
  <si>
    <t>Intuit Inc. (INTU) Financial Model</t>
  </si>
  <si>
    <t>Perpetuity Growth Method</t>
  </si>
  <si>
    <t>Perpetuity Growth Rate</t>
  </si>
  <si>
    <t>Implied Terminal Multiple</t>
  </si>
  <si>
    <t>Diluted Shares Outstanding</t>
  </si>
  <si>
    <t>2031E Unlevered Free Cash Flow</t>
  </si>
  <si>
    <t>Perpetuity Growth Rate (%)</t>
  </si>
  <si>
    <t>Blended Implied Share Price</t>
  </si>
  <si>
    <t>Blended Upside / (Downside)</t>
  </si>
  <si>
    <t>WACC</t>
  </si>
  <si>
    <t>Exit Multiple</t>
  </si>
  <si>
    <t>DCF Sensitivity Analysis: Implied Share Price - Exit Multiple Method</t>
  </si>
  <si>
    <t>DCF Sensitivity Analysis: Implied Share Price - Perpetuity Growth Method</t>
  </si>
  <si>
    <t>Intuit Inc.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</si>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</sst>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#,##0.0;\(#,##0.0\);&quot;—&quot;"/>
    <numFmt numFmtId="165" formatCode="#,##0.0"/>
    <numFmt numFmtId="166" formatCode="#,##0.00;\(#,##0.00\);&quot;—&quot;"/>
    <numFmt numFmtId="167" formatCode="0.00&quot;x&quot;"/>
    <numFmt numFmtId="168" formatCode="_([$$-409]* #,##0.00_);_([$$-409]* \(#,##0.00\);_([$$-409]* &quot;-&quot;??_);_(@_)"/>
    <numFmt numFmtId="169" formatCode="&quot;$&quot;#,##0.00"/>
    <numFmt numFmtId="170" formatCode="#,##0.0;[Red]\(#,##0.0\)"/>
    <numFmt numFmtId="171" formatCode="#,##0.0&quot;x&quot;"/>
    <numFmt numFmtId="172" formatCode="#,##0.0;\(#,##0.0\);&quot;-&quot;"/>
    <numFmt numFmtId="173" formatCode="0.0%"/>
    <numFmt numFmtId="174" formatCode="0.0&quot;x&quot;"/>
    <numFmt numFmtId="175" formatCode="0.0"/>
    <numFmt numFmtId="176" formatCode="0.0\x"/>
    <numFmt numFmtId="177" formatCode="[$$-409]#,##0.00"/>
    <numFmt numFmtId="178" formatCode="0.0000"/>
    <numFmt numFmtId="179" formatCode="&quot;£&quot;#,##0.00"/>
  </numFmts>
  <fonts count="40" x14ac:knownFonts="1">
    <font>
      <sz val="12"/>
      <color theme="1"/>
      <name val="Garamond"/>
      <family val="2"/>
    </font>
    <font>
      <sz val="12"/>
      <color theme="0"/>
      <name val="Garamond"/>
      <family val="2"/>
    </font>
    <font>
      <b/>
      <sz val="13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i/>
      <sz val="10"/>
      <color theme="1"/>
      <name val="Garamond"/>
      <family val="1"/>
    </font>
    <font>
      <sz val="11"/>
      <color rgb="FF000000"/>
      <name val="Garamond"/>
      <family val="1"/>
    </font>
    <font>
      <b/>
      <sz val="11"/>
      <color rgb="FF000000"/>
      <name val="Garamond"/>
      <family val="1"/>
    </font>
    <font>
      <b/>
      <sz val="12"/>
      <color theme="1"/>
      <name val="Garamond"/>
      <family val="1"/>
    </font>
    <font>
      <sz val="11"/>
      <color rgb="FF0000FF"/>
      <name val="Garamond"/>
      <family val="1"/>
    </font>
    <font>
      <sz val="11"/>
      <color rgb="FF008000"/>
      <name val="Garamond"/>
      <family val="1"/>
    </font>
    <font>
      <sz val="11"/>
      <color theme="1"/>
      <name val="Garamond"/>
      <family val="1"/>
    </font>
    <font>
      <sz val="11"/>
      <color rgb="FF0000FF"/>
      <name val="Garamond"/>
      <family val="1"/>
    </font>
    <font>
      <b/>
      <sz val="12"/>
      <color theme="0"/>
      <name val="Garamond"/>
      <family val="1"/>
    </font>
    <font>
      <b/>
      <sz val="18"/>
      <color theme="1"/>
      <name val="Garamond"/>
      <family val="1"/>
    </font>
    <font>
      <sz val="9"/>
      <color indexed="81"/>
      <name val="Tahoma"/>
      <family val="2"/>
    </font>
    <font>
      <b/>
      <sz val="13"/>
      <color rgb="FF000000"/>
      <name val="Garamond"/>
      <family val="1"/>
    </font>
    <font>
      <i/>
      <sz val="10"/>
      <color rgb="FF000000"/>
      <name val="Garamond"/>
      <family val="1"/>
    </font>
    <font>
      <sz val="11"/>
      <color rgb="FF000000"/>
      <name val="Garamond"/>
      <family val="1"/>
    </font>
    <font>
      <sz val="11"/>
      <color rgb="FF008000"/>
      <name val="Garamond"/>
      <family val="1"/>
    </font>
    <font>
      <b/>
      <sz val="11"/>
      <color rgb="FF000000"/>
      <name val="Garamond"/>
      <family val="1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i/>
      <sz val="12"/>
      <color theme="1"/>
      <name val="Arial"/>
      <family val="2"/>
    </font>
    <font>
      <b/>
      <sz val="11"/>
      <color rgb="FF008000"/>
      <name val="Garamond"/>
      <family val="1"/>
    </font>
    <font>
      <i/>
      <sz val="11"/>
      <color rgb="FF000000"/>
      <name val="Garamond"/>
      <family val="1"/>
    </font>
    <font>
      <i/>
      <sz val="11"/>
      <color rgb="FF0000FF"/>
      <name val="Garamond"/>
      <family val="1"/>
    </font>
    <font>
      <sz val="12"/>
      <color rgb="FF000000"/>
      <name val="Garamond"/>
      <family val="1"/>
    </font>
    <font>
      <sz val="12"/>
      <color rgb="FFFFFFFF"/>
      <name val="Garamond"/>
      <family val="1"/>
    </font>
    <font>
      <b/>
      <sz val="12"/>
      <color rgb="FFFFFFFF"/>
      <name val="Garamond"/>
      <family val="1"/>
    </font>
    <font>
      <b/>
      <u/>
      <sz val="11"/>
      <color rgb="FF000000"/>
      <name val="Garamond"/>
      <family val="1"/>
    </font>
    <font>
      <b/>
      <sz val="9"/>
      <color indexed="81"/>
      <name val="Tahoma"/>
      <family val="2"/>
    </font>
    <font>
      <sz val="14"/>
      <color theme="1"/>
      <name val="Garamond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2"/>
      <color rgb="FF000000"/>
      <name val="Garamond"/>
      <family val="1"/>
    </font>
    <font>
      <b/>
      <sz val="12"/>
      <color rgb="FF008000"/>
      <name val="Garamond"/>
      <family val="1"/>
    </font>
    <font>
      <sz val="12"/>
      <color theme="1"/>
      <name val="Garamond"/>
      <family val="2"/>
    </font>
    <font>
      <sz val="12.5"/>
      <color theme="1"/>
      <name val="Garamond"/>
      <family val="1"/>
    </font>
  </fonts>
  <fills count="1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D6E4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156082"/>
        <bgColor indexed="64"/>
      </patternFill>
    </fill>
    <fill>
      <patternFill patternType="solid">
        <fgColor rgb="FF44B3E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</fills>
  <borders count="6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808080"/>
      </right>
      <top style="thin">
        <color auto="1"/>
      </top>
      <bottom style="medium">
        <color auto="1"/>
      </bottom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medium">
        <color auto="1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auto="1"/>
      </top>
      <bottom style="medium">
        <color auto="1"/>
      </bottom>
      <diagonal/>
    </border>
    <border>
      <left style="thin">
        <color rgb="FF808080"/>
      </left>
      <right/>
      <top/>
      <bottom/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</cellStyleXfs>
  <cellXfs count="29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4" fillId="3" borderId="2" xfId="0" applyFont="1" applyFill="1" applyBorder="1"/>
    <xf numFmtId="164" fontId="9" fillId="0" borderId="0" xfId="0" applyNumberFormat="1" applyFont="1" applyAlignment="1">
      <alignment horizontal="right"/>
    </xf>
    <xf numFmtId="164" fontId="7" fillId="3" borderId="2" xfId="0" applyNumberFormat="1" applyFont="1" applyFill="1" applyBorder="1" applyAlignment="1">
      <alignment horizontal="right"/>
    </xf>
    <xf numFmtId="0" fontId="4" fillId="3" borderId="5" xfId="0" applyFont="1" applyFill="1" applyBorder="1"/>
    <xf numFmtId="164" fontId="7" fillId="3" borderId="5" xfId="0" applyNumberFormat="1" applyFont="1" applyFill="1" applyBorder="1" applyAlignment="1">
      <alignment horizontal="right"/>
    </xf>
    <xf numFmtId="166" fontId="9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right"/>
    </xf>
    <xf numFmtId="0" fontId="4" fillId="3" borderId="6" xfId="0" applyFont="1" applyFill="1" applyBorder="1"/>
    <xf numFmtId="164" fontId="7" fillId="3" borderId="6" xfId="0" applyNumberFormat="1" applyFont="1" applyFill="1" applyBorder="1" applyAlignment="1">
      <alignment horizontal="right"/>
    </xf>
    <xf numFmtId="164" fontId="10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0" fontId="4" fillId="3" borderId="7" xfId="0" applyFont="1" applyFill="1" applyBorder="1"/>
    <xf numFmtId="164" fontId="7" fillId="3" borderId="7" xfId="0" applyNumberFormat="1" applyFont="1" applyFill="1" applyBorder="1" applyAlignment="1">
      <alignment horizontal="right"/>
    </xf>
    <xf numFmtId="0" fontId="11" fillId="0" borderId="0" xfId="0" applyFont="1" applyAlignment="1">
      <alignment horizontal="left"/>
    </xf>
    <xf numFmtId="164" fontId="12" fillId="0" borderId="0" xfId="0" applyNumberFormat="1" applyFont="1" applyAlignment="1">
      <alignment horizontal="right"/>
    </xf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3" fillId="2" borderId="1" xfId="1" applyFont="1" applyBorder="1" applyAlignment="1">
      <alignment horizontal="center"/>
    </xf>
    <xf numFmtId="1" fontId="13" fillId="2" borderId="1" xfId="1" applyNumberFormat="1" applyFont="1" applyBorder="1" applyAlignment="1">
      <alignment horizontal="center"/>
    </xf>
    <xf numFmtId="0" fontId="4" fillId="0" borderId="0" xfId="0" applyFont="1" applyAlignment="1">
      <alignment horizontal="centerContinuous"/>
    </xf>
    <xf numFmtId="0" fontId="14" fillId="0" borderId="0" xfId="0" applyFont="1"/>
    <xf numFmtId="0" fontId="1" fillId="2" borderId="0" xfId="1"/>
    <xf numFmtId="0" fontId="0" fillId="0" borderId="8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9" xfId="0" applyBorder="1" applyAlignment="1">
      <alignment horizontal="centerContinuous"/>
    </xf>
    <xf numFmtId="0" fontId="0" fillId="0" borderId="10" xfId="0" applyBorder="1"/>
    <xf numFmtId="0" fontId="0" fillId="0" borderId="4" xfId="0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right"/>
    </xf>
    <xf numFmtId="2" fontId="0" fillId="0" borderId="4" xfId="0" applyNumberForma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18" fillId="4" borderId="0" xfId="0" applyFont="1" applyFill="1"/>
    <xf numFmtId="0" fontId="18" fillId="4" borderId="8" xfId="0" applyFont="1" applyFill="1" applyBorder="1"/>
    <xf numFmtId="10" fontId="12" fillId="4" borderId="9" xfId="0" applyNumberFormat="1" applyFont="1" applyFill="1" applyBorder="1" applyAlignment="1">
      <alignment horizontal="right"/>
    </xf>
    <xf numFmtId="0" fontId="18" fillId="4" borderId="14" xfId="0" applyFont="1" applyFill="1" applyBorder="1"/>
    <xf numFmtId="10" fontId="12" fillId="4" borderId="15" xfId="0" applyNumberFormat="1" applyFont="1" applyFill="1" applyBorder="1" applyAlignment="1">
      <alignment horizontal="right"/>
    </xf>
    <xf numFmtId="167" fontId="12" fillId="4" borderId="15" xfId="0" applyNumberFormat="1" applyFont="1" applyFill="1" applyBorder="1" applyAlignment="1">
      <alignment horizontal="right"/>
    </xf>
    <xf numFmtId="4" fontId="19" fillId="4" borderId="15" xfId="0" applyNumberFormat="1" applyFont="1" applyFill="1" applyBorder="1" applyAlignment="1">
      <alignment horizontal="right"/>
    </xf>
    <xf numFmtId="0" fontId="18" fillId="4" borderId="12" xfId="0" applyFont="1" applyFill="1" applyBorder="1"/>
    <xf numFmtId="0" fontId="0" fillId="0" borderId="1" xfId="0" applyBorder="1"/>
    <xf numFmtId="3" fontId="19" fillId="4" borderId="13" xfId="0" applyNumberFormat="1" applyFont="1" applyFill="1" applyBorder="1" applyAlignment="1">
      <alignment horizontal="right"/>
    </xf>
    <xf numFmtId="0" fontId="11" fillId="4" borderId="0" xfId="0" applyFont="1" applyFill="1"/>
    <xf numFmtId="10" fontId="18" fillId="4" borderId="0" xfId="0" applyNumberFormat="1" applyFont="1" applyFill="1" applyAlignment="1">
      <alignment horizontal="right"/>
    </xf>
    <xf numFmtId="10" fontId="18" fillId="4" borderId="15" xfId="0" applyNumberFormat="1" applyFont="1" applyFill="1" applyBorder="1" applyAlignment="1">
      <alignment horizontal="right"/>
    </xf>
    <xf numFmtId="0" fontId="11" fillId="4" borderId="3" xfId="0" applyFont="1" applyFill="1" applyBorder="1"/>
    <xf numFmtId="10" fontId="18" fillId="4" borderId="9" xfId="0" applyNumberFormat="1" applyFont="1" applyFill="1" applyBorder="1" applyAlignment="1">
      <alignment horizontal="right"/>
    </xf>
    <xf numFmtId="0" fontId="20" fillId="4" borderId="0" xfId="0" applyFont="1" applyFill="1"/>
    <xf numFmtId="0" fontId="20" fillId="4" borderId="14" xfId="0" applyFont="1" applyFill="1" applyBorder="1"/>
    <xf numFmtId="10" fontId="20" fillId="4" borderId="15" xfId="0" applyNumberFormat="1" applyFont="1" applyFill="1" applyBorder="1" applyAlignment="1">
      <alignment horizontal="right"/>
    </xf>
    <xf numFmtId="0" fontId="20" fillId="3" borderId="12" xfId="0" applyFont="1" applyFill="1" applyBorder="1"/>
    <xf numFmtId="0" fontId="11" fillId="3" borderId="1" xfId="0" applyFont="1" applyFill="1" applyBorder="1"/>
    <xf numFmtId="10" fontId="20" fillId="3" borderId="13" xfId="0" applyNumberFormat="1" applyFont="1" applyFill="1" applyBorder="1" applyAlignment="1">
      <alignment horizontal="right"/>
    </xf>
    <xf numFmtId="167" fontId="18" fillId="4" borderId="15" xfId="0" applyNumberFormat="1" applyFont="1" applyFill="1" applyBorder="1" applyAlignment="1">
      <alignment horizontal="right"/>
    </xf>
    <xf numFmtId="3" fontId="18" fillId="4" borderId="0" xfId="0" applyNumberFormat="1" applyFont="1" applyFill="1" applyAlignment="1">
      <alignment horizontal="left"/>
    </xf>
    <xf numFmtId="10" fontId="18" fillId="4" borderId="3" xfId="0" applyNumberFormat="1" applyFont="1" applyFill="1" applyBorder="1" applyAlignment="1">
      <alignment horizontal="right"/>
    </xf>
    <xf numFmtId="0" fontId="20" fillId="3" borderId="4" xfId="0" applyFont="1" applyFill="1" applyBorder="1"/>
    <xf numFmtId="0" fontId="20" fillId="3" borderId="10" xfId="0" applyFont="1" applyFill="1" applyBorder="1"/>
    <xf numFmtId="3" fontId="20" fillId="3" borderId="4" xfId="0" applyNumberFormat="1" applyFont="1" applyFill="1" applyBorder="1" applyAlignment="1">
      <alignment horizontal="left"/>
    </xf>
    <xf numFmtId="10" fontId="20" fillId="3" borderId="4" xfId="0" applyNumberFormat="1" applyFont="1" applyFill="1" applyBorder="1" applyAlignment="1">
      <alignment horizontal="right"/>
    </xf>
    <xf numFmtId="10" fontId="20" fillId="3" borderId="11" xfId="0" applyNumberFormat="1" applyFont="1" applyFill="1" applyBorder="1" applyAlignment="1">
      <alignment horizontal="right"/>
    </xf>
    <xf numFmtId="0" fontId="13" fillId="2" borderId="8" xfId="1" applyFont="1" applyBorder="1" applyAlignment="1">
      <alignment horizontal="centerContinuous"/>
    </xf>
    <xf numFmtId="0" fontId="13" fillId="2" borderId="4" xfId="1" applyFont="1" applyBorder="1" applyAlignment="1">
      <alignment horizontal="centerContinuous"/>
    </xf>
    <xf numFmtId="0" fontId="13" fillId="2" borderId="9" xfId="1" applyFont="1" applyBorder="1" applyAlignment="1">
      <alignment horizontal="centerContinuous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168" fontId="22" fillId="0" borderId="0" xfId="0" applyNumberFormat="1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14" xfId="0" applyFont="1" applyBorder="1"/>
    <xf numFmtId="0" fontId="23" fillId="0" borderId="0" xfId="0" applyFont="1"/>
    <xf numFmtId="169" fontId="23" fillId="0" borderId="0" xfId="0" applyNumberFormat="1" applyFont="1"/>
    <xf numFmtId="170" fontId="23" fillId="0" borderId="0" xfId="0" applyNumberFormat="1" applyFont="1"/>
    <xf numFmtId="171" fontId="23" fillId="0" borderId="0" xfId="0" applyNumberFormat="1" applyFont="1" applyAlignment="1">
      <alignment horizontal="left"/>
    </xf>
    <xf numFmtId="171" fontId="23" fillId="0" borderId="0" xfId="0" applyNumberFormat="1" applyFont="1"/>
    <xf numFmtId="171" fontId="23" fillId="0" borderId="9" xfId="0" applyNumberFormat="1" applyFont="1" applyBorder="1" applyAlignment="1">
      <alignment horizontal="right"/>
    </xf>
    <xf numFmtId="171" fontId="23" fillId="0" borderId="15" xfId="0" applyNumberFormat="1" applyFont="1" applyBorder="1"/>
    <xf numFmtId="170" fontId="23" fillId="0" borderId="0" xfId="0" applyNumberFormat="1" applyFont="1" applyAlignment="1">
      <alignment horizontal="right"/>
    </xf>
    <xf numFmtId="0" fontId="23" fillId="0" borderId="12" xfId="0" applyFont="1" applyBorder="1"/>
    <xf numFmtId="0" fontId="23" fillId="0" borderId="1" xfId="0" applyFont="1" applyBorder="1"/>
    <xf numFmtId="169" fontId="23" fillId="0" borderId="1" xfId="0" applyNumberFormat="1" applyFont="1" applyBorder="1"/>
    <xf numFmtId="170" fontId="23" fillId="0" borderId="1" xfId="0" applyNumberFormat="1" applyFont="1" applyBorder="1"/>
    <xf numFmtId="171" fontId="23" fillId="0" borderId="1" xfId="0" applyNumberFormat="1" applyFont="1" applyBorder="1" applyAlignment="1">
      <alignment horizontal="left"/>
    </xf>
    <xf numFmtId="171" fontId="23" fillId="0" borderId="1" xfId="0" applyNumberFormat="1" applyFont="1" applyBorder="1"/>
    <xf numFmtId="171" fontId="23" fillId="0" borderId="13" xfId="0" applyNumberFormat="1" applyFont="1" applyBorder="1"/>
    <xf numFmtId="171" fontId="23" fillId="0" borderId="0" xfId="0" applyNumberFormat="1" applyFont="1" applyAlignment="1">
      <alignment horizontal="right"/>
    </xf>
    <xf numFmtId="0" fontId="23" fillId="0" borderId="0" xfId="0" applyFont="1" applyAlignment="1">
      <alignment horizontal="right"/>
    </xf>
    <xf numFmtId="171" fontId="23" fillId="0" borderId="15" xfId="0" applyNumberFormat="1" applyFont="1" applyBorder="1" applyAlignment="1">
      <alignment horizontal="right"/>
    </xf>
    <xf numFmtId="169" fontId="23" fillId="0" borderId="0" xfId="0" applyNumberFormat="1" applyFont="1" applyAlignment="1">
      <alignment horizontal="right"/>
    </xf>
    <xf numFmtId="171" fontId="23" fillId="0" borderId="1" xfId="0" applyNumberFormat="1" applyFont="1" applyBorder="1" applyAlignment="1">
      <alignment horizontal="right"/>
    </xf>
    <xf numFmtId="0" fontId="23" fillId="0" borderId="1" xfId="0" applyFont="1" applyBorder="1" applyAlignment="1">
      <alignment horizontal="right"/>
    </xf>
    <xf numFmtId="171" fontId="23" fillId="0" borderId="13" xfId="0" applyNumberFormat="1" applyFont="1" applyBorder="1" applyAlignment="1">
      <alignment horizontal="right"/>
    </xf>
    <xf numFmtId="0" fontId="13" fillId="2" borderId="8" xfId="1" applyFont="1" applyBorder="1"/>
    <xf numFmtId="0" fontId="13" fillId="2" borderId="3" xfId="1" applyFont="1" applyBorder="1"/>
    <xf numFmtId="0" fontId="13" fillId="2" borderId="3" xfId="1" applyFont="1" applyBorder="1" applyAlignment="1">
      <alignment horizontal="centerContinuous"/>
    </xf>
    <xf numFmtId="0" fontId="13" fillId="2" borderId="12" xfId="1" applyFont="1" applyBorder="1"/>
    <xf numFmtId="0" fontId="13" fillId="2" borderId="1" xfId="1" applyFont="1" applyBorder="1"/>
    <xf numFmtId="0" fontId="13" fillId="2" borderId="1" xfId="1" applyFont="1" applyBorder="1" applyAlignment="1">
      <alignment horizontal="right"/>
    </xf>
    <xf numFmtId="0" fontId="13" fillId="2" borderId="1" xfId="1" applyFont="1" applyBorder="1" applyAlignment="1">
      <alignment horizontal="left"/>
    </xf>
    <xf numFmtId="0" fontId="13" fillId="2" borderId="13" xfId="1" applyFont="1" applyBorder="1"/>
    <xf numFmtId="0" fontId="13" fillId="2" borderId="10" xfId="1" applyFont="1" applyBorder="1"/>
    <xf numFmtId="0" fontId="13" fillId="2" borderId="4" xfId="1" applyFont="1" applyBorder="1"/>
    <xf numFmtId="169" fontId="13" fillId="2" borderId="4" xfId="1" applyNumberFormat="1" applyFont="1" applyBorder="1"/>
    <xf numFmtId="170" fontId="13" fillId="2" borderId="4" xfId="1" applyNumberFormat="1" applyFont="1" applyBorder="1"/>
    <xf numFmtId="4" fontId="13" fillId="2" borderId="4" xfId="1" applyNumberFormat="1" applyFont="1" applyBorder="1" applyAlignment="1">
      <alignment horizontal="left"/>
    </xf>
    <xf numFmtId="171" fontId="13" fillId="2" borderId="4" xfId="1" applyNumberFormat="1" applyFont="1" applyBorder="1" applyAlignment="1">
      <alignment horizontal="right"/>
    </xf>
    <xf numFmtId="4" fontId="13" fillId="2" borderId="4" xfId="1" applyNumberFormat="1" applyFont="1" applyBorder="1"/>
    <xf numFmtId="171" fontId="13" fillId="2" borderId="4" xfId="1" applyNumberFormat="1" applyFont="1" applyBorder="1" applyAlignment="1">
      <alignment horizontal="left"/>
    </xf>
    <xf numFmtId="171" fontId="13" fillId="2" borderId="11" xfId="1" applyNumberFormat="1" applyFont="1" applyBorder="1" applyAlignment="1">
      <alignment horizontal="right"/>
    </xf>
    <xf numFmtId="0" fontId="13" fillId="2" borderId="3" xfId="1" applyFont="1" applyBorder="1" applyAlignment="1">
      <alignment horizontal="center"/>
    </xf>
    <xf numFmtId="0" fontId="13" fillId="2" borderId="9" xfId="1" applyFont="1" applyBorder="1" applyAlignment="1">
      <alignment horizontal="center"/>
    </xf>
    <xf numFmtId="0" fontId="16" fillId="4" borderId="0" xfId="0" applyFont="1" applyFill="1"/>
    <xf numFmtId="0" fontId="17" fillId="4" borderId="0" xfId="0" applyFont="1" applyFill="1"/>
    <xf numFmtId="172" fontId="25" fillId="4" borderId="0" xfId="0" applyNumberFormat="1" applyFont="1" applyFill="1"/>
    <xf numFmtId="172" fontId="20" fillId="4" borderId="0" xfId="0" applyNumberFormat="1" applyFont="1" applyFill="1"/>
    <xf numFmtId="0" fontId="26" fillId="4" borderId="0" xfId="0" applyFont="1" applyFill="1"/>
    <xf numFmtId="173" fontId="26" fillId="4" borderId="0" xfId="0" applyNumberFormat="1" applyFont="1" applyFill="1"/>
    <xf numFmtId="173" fontId="27" fillId="5" borderId="0" xfId="0" applyNumberFormat="1" applyFont="1" applyFill="1"/>
    <xf numFmtId="172" fontId="27" fillId="5" borderId="0" xfId="0" applyNumberFormat="1" applyFont="1" applyFill="1"/>
    <xf numFmtId="173" fontId="20" fillId="4" borderId="0" xfId="0" applyNumberFormat="1" applyFont="1" applyFill="1"/>
    <xf numFmtId="174" fontId="20" fillId="4" borderId="0" xfId="0" applyNumberFormat="1" applyFont="1" applyFill="1"/>
    <xf numFmtId="174" fontId="27" fillId="5" borderId="0" xfId="0" applyNumberFormat="1" applyFont="1" applyFill="1"/>
    <xf numFmtId="0" fontId="20" fillId="3" borderId="5" xfId="0" applyFont="1" applyFill="1" applyBorder="1"/>
    <xf numFmtId="0" fontId="18" fillId="4" borderId="17" xfId="0" applyFont="1" applyFill="1" applyBorder="1"/>
    <xf numFmtId="172" fontId="25" fillId="4" borderId="17" xfId="0" applyNumberFormat="1" applyFont="1" applyFill="1" applyBorder="1"/>
    <xf numFmtId="173" fontId="26" fillId="4" borderId="17" xfId="0" applyNumberFormat="1" applyFont="1" applyFill="1" applyBorder="1"/>
    <xf numFmtId="172" fontId="25" fillId="3" borderId="5" xfId="0" applyNumberFormat="1" applyFont="1" applyFill="1" applyBorder="1"/>
    <xf numFmtId="172" fontId="25" fillId="3" borderId="16" xfId="0" applyNumberFormat="1" applyFont="1" applyFill="1" applyBorder="1"/>
    <xf numFmtId="172" fontId="20" fillId="3" borderId="5" xfId="0" applyNumberFormat="1" applyFont="1" applyFill="1" applyBorder="1"/>
    <xf numFmtId="0" fontId="13" fillId="2" borderId="5" xfId="1" applyFont="1" applyBorder="1"/>
    <xf numFmtId="1" fontId="13" fillId="2" borderId="5" xfId="1" applyNumberFormat="1" applyFont="1" applyBorder="1" applyAlignment="1">
      <alignment horizontal="right"/>
    </xf>
    <xf numFmtId="1" fontId="13" fillId="2" borderId="16" xfId="1" applyNumberFormat="1" applyFont="1" applyBorder="1" applyAlignment="1">
      <alignment horizontal="right"/>
    </xf>
    <xf numFmtId="0" fontId="13" fillId="2" borderId="5" xfId="1" applyFont="1" applyBorder="1" applyAlignment="1">
      <alignment horizontal="right"/>
    </xf>
    <xf numFmtId="0" fontId="18" fillId="4" borderId="1" xfId="0" applyFont="1" applyFill="1" applyBorder="1"/>
    <xf numFmtId="0" fontId="18" fillId="4" borderId="18" xfId="0" applyFont="1" applyFill="1" applyBorder="1"/>
    <xf numFmtId="0" fontId="20" fillId="4" borderId="1" xfId="0" applyFont="1" applyFill="1" applyBorder="1"/>
    <xf numFmtId="0" fontId="28" fillId="0" borderId="0" xfId="0" applyFont="1"/>
    <xf numFmtId="0" fontId="6" fillId="0" borderId="0" xfId="0" applyFont="1"/>
    <xf numFmtId="0" fontId="7" fillId="0" borderId="0" xfId="0" applyFont="1"/>
    <xf numFmtId="0" fontId="30" fillId="6" borderId="0" xfId="0" applyFont="1" applyFill="1"/>
    <xf numFmtId="0" fontId="30" fillId="6" borderId="0" xfId="0" applyFont="1" applyFill="1" applyAlignment="1">
      <alignment horizontal="center"/>
    </xf>
    <xf numFmtId="1" fontId="30" fillId="6" borderId="0" xfId="0" applyNumberFormat="1" applyFont="1" applyFill="1" applyAlignment="1">
      <alignment horizontal="center"/>
    </xf>
    <xf numFmtId="0" fontId="31" fillId="0" borderId="0" xfId="0" applyFont="1"/>
    <xf numFmtId="172" fontId="10" fillId="0" borderId="0" xfId="0" applyNumberFormat="1" applyFont="1" applyAlignment="1">
      <alignment horizontal="right"/>
    </xf>
    <xf numFmtId="172" fontId="6" fillId="0" borderId="0" xfId="0" applyNumberFormat="1" applyFont="1" applyAlignment="1">
      <alignment horizontal="right"/>
    </xf>
    <xf numFmtId="0" fontId="7" fillId="3" borderId="20" xfId="0" applyFont="1" applyFill="1" applyBorder="1"/>
    <xf numFmtId="172" fontId="7" fillId="3" borderId="20" xfId="0" applyNumberFormat="1" applyFont="1" applyFill="1" applyBorder="1" applyAlignment="1">
      <alignment horizontal="right"/>
    </xf>
    <xf numFmtId="0" fontId="7" fillId="3" borderId="22" xfId="0" applyFont="1" applyFill="1" applyBorder="1"/>
    <xf numFmtId="172" fontId="7" fillId="3" borderId="22" xfId="0" applyNumberFormat="1" applyFont="1" applyFill="1" applyBorder="1" applyAlignment="1">
      <alignment horizontal="right"/>
    </xf>
    <xf numFmtId="0" fontId="7" fillId="3" borderId="2" xfId="0" applyFont="1" applyFill="1" applyBorder="1"/>
    <xf numFmtId="0" fontId="7" fillId="3" borderId="24" xfId="0" applyFont="1" applyFill="1" applyBorder="1"/>
    <xf numFmtId="172" fontId="7" fillId="3" borderId="24" xfId="0" applyNumberFormat="1" applyFont="1" applyFill="1" applyBorder="1" applyAlignment="1">
      <alignment horizontal="right"/>
    </xf>
    <xf numFmtId="0" fontId="30" fillId="6" borderId="27" xfId="0" applyFont="1" applyFill="1" applyBorder="1" applyAlignment="1">
      <alignment horizontal="center"/>
    </xf>
    <xf numFmtId="0" fontId="28" fillId="0" borderId="27" xfId="0" applyFont="1" applyBorder="1"/>
    <xf numFmtId="172" fontId="10" fillId="0" borderId="27" xfId="0" applyNumberFormat="1" applyFont="1" applyBorder="1" applyAlignment="1">
      <alignment horizontal="right"/>
    </xf>
    <xf numFmtId="172" fontId="7" fillId="3" borderId="28" xfId="0" applyNumberFormat="1" applyFont="1" applyFill="1" applyBorder="1" applyAlignment="1">
      <alignment horizontal="right"/>
    </xf>
    <xf numFmtId="172" fontId="6" fillId="0" borderId="27" xfId="0" applyNumberFormat="1" applyFont="1" applyBorder="1" applyAlignment="1">
      <alignment horizontal="right"/>
    </xf>
    <xf numFmtId="172" fontId="7" fillId="3" borderId="29" xfId="0" applyNumberFormat="1" applyFont="1" applyFill="1" applyBorder="1" applyAlignment="1">
      <alignment horizontal="right"/>
    </xf>
    <xf numFmtId="172" fontId="7" fillId="3" borderId="30" xfId="0" applyNumberFormat="1" applyFont="1" applyFill="1" applyBorder="1" applyAlignment="1">
      <alignment horizontal="right"/>
    </xf>
    <xf numFmtId="165" fontId="25" fillId="0" borderId="0" xfId="0" applyNumberFormat="1" applyFont="1" applyAlignment="1">
      <alignment horizontal="right"/>
    </xf>
    <xf numFmtId="0" fontId="26" fillId="0" borderId="0" xfId="0" applyFont="1"/>
    <xf numFmtId="173" fontId="26" fillId="0" borderId="0" xfId="0" applyNumberFormat="1" applyFont="1" applyAlignment="1">
      <alignment horizontal="right"/>
    </xf>
    <xf numFmtId="165" fontId="10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75" fontId="6" fillId="0" borderId="0" xfId="0" applyNumberFormat="1" applyFont="1" applyAlignment="1">
      <alignment horizontal="right"/>
    </xf>
    <xf numFmtId="0" fontId="28" fillId="0" borderId="1" xfId="0" applyFont="1" applyBorder="1"/>
    <xf numFmtId="0" fontId="28" fillId="0" borderId="19" xfId="0" applyFont="1" applyBorder="1"/>
    <xf numFmtId="165" fontId="7" fillId="3" borderId="20" xfId="0" applyNumberFormat="1" applyFont="1" applyFill="1" applyBorder="1" applyAlignment="1">
      <alignment horizontal="right"/>
    </xf>
    <xf numFmtId="173" fontId="26" fillId="0" borderId="20" xfId="0" applyNumberFormat="1" applyFont="1" applyBorder="1" applyAlignment="1">
      <alignment horizontal="right"/>
    </xf>
    <xf numFmtId="0" fontId="26" fillId="0" borderId="23" xfId="0" applyFont="1" applyBorder="1"/>
    <xf numFmtId="173" fontId="26" fillId="0" borderId="23" xfId="0" applyNumberFormat="1" applyFont="1" applyBorder="1" applyAlignment="1">
      <alignment horizontal="right"/>
    </xf>
    <xf numFmtId="2" fontId="6" fillId="0" borderId="0" xfId="0" applyNumberFormat="1" applyFont="1" applyAlignment="1">
      <alignment horizontal="right"/>
    </xf>
    <xf numFmtId="0" fontId="28" fillId="0" borderId="20" xfId="0" applyFont="1" applyBorder="1"/>
    <xf numFmtId="0" fontId="7" fillId="3" borderId="31" xfId="0" applyFont="1" applyFill="1" applyBorder="1"/>
    <xf numFmtId="165" fontId="7" fillId="3" borderId="32" xfId="0" applyNumberFormat="1" applyFont="1" applyFill="1" applyBorder="1" applyAlignment="1">
      <alignment horizontal="right"/>
    </xf>
    <xf numFmtId="0" fontId="30" fillId="6" borderId="20" xfId="0" applyFont="1" applyFill="1" applyBorder="1" applyAlignment="1">
      <alignment horizontal="center"/>
    </xf>
    <xf numFmtId="0" fontId="30" fillId="6" borderId="29" xfId="0" applyFont="1" applyFill="1" applyBorder="1" applyAlignment="1">
      <alignment horizontal="center"/>
    </xf>
    <xf numFmtId="165" fontId="25" fillId="0" borderId="0" xfId="0" applyNumberFormat="1" applyFont="1" applyAlignment="1">
      <alignment horizontal="center"/>
    </xf>
    <xf numFmtId="165" fontId="25" fillId="0" borderId="27" xfId="0" applyNumberFormat="1" applyFont="1" applyBorder="1" applyAlignment="1">
      <alignment horizontal="right"/>
    </xf>
    <xf numFmtId="173" fontId="26" fillId="0" borderId="0" xfId="0" applyNumberFormat="1" applyFont="1" applyAlignment="1">
      <alignment horizontal="center"/>
    </xf>
    <xf numFmtId="173" fontId="26" fillId="0" borderId="27" xfId="0" applyNumberFormat="1" applyFont="1" applyBorder="1" applyAlignment="1">
      <alignment horizontal="right"/>
    </xf>
    <xf numFmtId="165" fontId="10" fillId="0" borderId="0" xfId="0" applyNumberFormat="1" applyFont="1" applyAlignment="1">
      <alignment horizontal="center"/>
    </xf>
    <xf numFmtId="165" fontId="10" fillId="0" borderId="27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center"/>
    </xf>
    <xf numFmtId="165" fontId="6" fillId="0" borderId="27" xfId="0" applyNumberFormat="1" applyFont="1" applyBorder="1" applyAlignment="1">
      <alignment horizontal="right"/>
    </xf>
    <xf numFmtId="175" fontId="6" fillId="0" borderId="27" xfId="0" applyNumberFormat="1" applyFont="1" applyBorder="1" applyAlignment="1">
      <alignment horizontal="right"/>
    </xf>
    <xf numFmtId="2" fontId="6" fillId="0" borderId="27" xfId="0" applyNumberFormat="1" applyFont="1" applyBorder="1" applyAlignment="1">
      <alignment horizontal="right"/>
    </xf>
    <xf numFmtId="0" fontId="6" fillId="0" borderId="20" xfId="0" applyFont="1" applyBorder="1"/>
    <xf numFmtId="165" fontId="6" fillId="0" borderId="38" xfId="0" applyNumberFormat="1" applyFont="1" applyBorder="1" applyAlignment="1">
      <alignment horizontal="right"/>
    </xf>
    <xf numFmtId="0" fontId="7" fillId="3" borderId="34" xfId="0" applyFont="1" applyFill="1" applyBorder="1"/>
    <xf numFmtId="0" fontId="28" fillId="3" borderId="20" xfId="0" applyFont="1" applyFill="1" applyBorder="1"/>
    <xf numFmtId="0" fontId="28" fillId="3" borderId="21" xfId="0" applyFont="1" applyFill="1" applyBorder="1"/>
    <xf numFmtId="176" fontId="10" fillId="0" borderId="42" xfId="0" applyNumberFormat="1" applyFont="1" applyBorder="1" applyAlignment="1">
      <alignment horizontal="right"/>
    </xf>
    <xf numFmtId="165" fontId="7" fillId="3" borderId="38" xfId="0" applyNumberFormat="1" applyFont="1" applyFill="1" applyBorder="1" applyAlignment="1">
      <alignment horizontal="right"/>
    </xf>
    <xf numFmtId="2" fontId="6" fillId="0" borderId="38" xfId="0" applyNumberFormat="1" applyFont="1" applyBorder="1" applyAlignment="1">
      <alignment horizontal="right"/>
    </xf>
    <xf numFmtId="165" fontId="6" fillId="0" borderId="42" xfId="0" applyNumberFormat="1" applyFont="1" applyBorder="1" applyAlignment="1">
      <alignment horizontal="right"/>
    </xf>
    <xf numFmtId="0" fontId="26" fillId="0" borderId="20" xfId="0" applyFont="1" applyBorder="1"/>
    <xf numFmtId="173" fontId="26" fillId="0" borderId="38" xfId="0" applyNumberFormat="1" applyFont="1" applyBorder="1" applyAlignment="1">
      <alignment horizontal="right"/>
    </xf>
    <xf numFmtId="165" fontId="10" fillId="0" borderId="42" xfId="0" applyNumberFormat="1" applyFont="1" applyBorder="1" applyAlignment="1">
      <alignment horizontal="right"/>
    </xf>
    <xf numFmtId="165" fontId="10" fillId="0" borderId="38" xfId="0" applyNumberFormat="1" applyFont="1" applyBorder="1" applyAlignment="1">
      <alignment horizontal="right"/>
    </xf>
    <xf numFmtId="0" fontId="28" fillId="0" borderId="23" xfId="0" applyFont="1" applyBorder="1"/>
    <xf numFmtId="177" fontId="7" fillId="3" borderId="38" xfId="0" applyNumberFormat="1" applyFont="1" applyFill="1" applyBorder="1" applyAlignment="1">
      <alignment horizontal="right"/>
    </xf>
    <xf numFmtId="173" fontId="26" fillId="0" borderId="43" xfId="0" applyNumberFormat="1" applyFont="1" applyBorder="1" applyAlignment="1">
      <alignment horizontal="right"/>
    </xf>
    <xf numFmtId="0" fontId="28" fillId="0" borderId="42" xfId="0" applyFont="1" applyBorder="1"/>
    <xf numFmtId="165" fontId="7" fillId="3" borderId="4" xfId="0" applyNumberFormat="1" applyFont="1" applyFill="1" applyBorder="1" applyAlignment="1">
      <alignment horizontal="center"/>
    </xf>
    <xf numFmtId="165" fontId="7" fillId="3" borderId="44" xfId="0" applyNumberFormat="1" applyFont="1" applyFill="1" applyBorder="1" applyAlignment="1">
      <alignment horizontal="right"/>
    </xf>
    <xf numFmtId="0" fontId="7" fillId="0" borderId="0" xfId="0" applyFont="1" applyAlignment="1">
      <alignment horizontal="right"/>
    </xf>
    <xf numFmtId="10" fontId="25" fillId="0" borderId="45" xfId="0" applyNumberFormat="1" applyFont="1" applyBorder="1" applyAlignment="1">
      <alignment horizontal="center"/>
    </xf>
    <xf numFmtId="165" fontId="7" fillId="3" borderId="5" xfId="0" applyNumberFormat="1" applyFont="1" applyFill="1" applyBorder="1" applyAlignment="1">
      <alignment horizontal="center"/>
    </xf>
    <xf numFmtId="165" fontId="7" fillId="3" borderId="46" xfId="0" applyNumberFormat="1" applyFont="1" applyFill="1" applyBorder="1" applyAlignment="1">
      <alignment horizontal="right"/>
    </xf>
    <xf numFmtId="165" fontId="7" fillId="3" borderId="28" xfId="0" applyNumberFormat="1" applyFont="1" applyFill="1" applyBorder="1" applyAlignment="1">
      <alignment horizontal="right"/>
    </xf>
    <xf numFmtId="0" fontId="30" fillId="6" borderId="20" xfId="0" applyFont="1" applyFill="1" applyBorder="1" applyAlignment="1">
      <alignment horizontal="centerContinuous"/>
    </xf>
    <xf numFmtId="0" fontId="30" fillId="6" borderId="38" xfId="0" applyFont="1" applyFill="1" applyBorder="1" applyAlignment="1">
      <alignment horizontal="centerContinuous"/>
    </xf>
    <xf numFmtId="0" fontId="33" fillId="0" borderId="1" xfId="0" applyFont="1" applyBorder="1"/>
    <xf numFmtId="0" fontId="33" fillId="0" borderId="0" xfId="0" applyFont="1"/>
    <xf numFmtId="0" fontId="33" fillId="0" borderId="0" xfId="0" applyFont="1" applyAlignment="1">
      <alignment horizontal="centerContinuous"/>
    </xf>
    <xf numFmtId="0" fontId="34" fillId="0" borderId="8" xfId="0" applyFont="1" applyBorder="1"/>
    <xf numFmtId="0" fontId="0" fillId="0" borderId="3" xfId="0" applyBorder="1"/>
    <xf numFmtId="0" fontId="34" fillId="0" borderId="14" xfId="0" applyFont="1" applyBorder="1"/>
    <xf numFmtId="0" fontId="35" fillId="0" borderId="14" xfId="0" applyFont="1" applyBorder="1"/>
    <xf numFmtId="0" fontId="35" fillId="0" borderId="12" xfId="0" applyFont="1" applyBorder="1"/>
    <xf numFmtId="173" fontId="10" fillId="0" borderId="40" xfId="0" applyNumberFormat="1" applyFont="1" applyBorder="1" applyAlignment="1">
      <alignment horizontal="right"/>
    </xf>
    <xf numFmtId="0" fontId="6" fillId="4" borderId="0" xfId="0" applyFont="1" applyFill="1"/>
    <xf numFmtId="0" fontId="7" fillId="4" borderId="20" xfId="0" applyFont="1" applyFill="1" applyBorder="1"/>
    <xf numFmtId="0" fontId="7" fillId="4" borderId="37" xfId="0" applyFont="1" applyFill="1" applyBorder="1"/>
    <xf numFmtId="0" fontId="27" fillId="5" borderId="47" xfId="0" applyFont="1" applyFill="1" applyBorder="1"/>
    <xf numFmtId="176" fontId="26" fillId="0" borderId="38" xfId="0" applyNumberFormat="1" applyFont="1" applyBorder="1" applyAlignment="1">
      <alignment horizontal="right"/>
    </xf>
    <xf numFmtId="4" fontId="10" fillId="0" borderId="38" xfId="0" applyNumberFormat="1" applyFont="1" applyBorder="1" applyAlignment="1">
      <alignment horizontal="right"/>
    </xf>
    <xf numFmtId="0" fontId="30" fillId="6" borderId="49" xfId="0" applyFont="1" applyFill="1" applyBorder="1" applyAlignment="1">
      <alignment horizontal="centerContinuous"/>
    </xf>
    <xf numFmtId="178" fontId="6" fillId="0" borderId="42" xfId="0" applyNumberFormat="1" applyFont="1" applyBorder="1" applyAlignment="1">
      <alignment horizontal="right"/>
    </xf>
    <xf numFmtId="0" fontId="7" fillId="3" borderId="48" xfId="0" applyFont="1" applyFill="1" applyBorder="1"/>
    <xf numFmtId="165" fontId="7" fillId="3" borderId="52" xfId="0" applyNumberFormat="1" applyFont="1" applyFill="1" applyBorder="1" applyAlignment="1">
      <alignment horizontal="right"/>
    </xf>
    <xf numFmtId="173" fontId="26" fillId="0" borderId="40" xfId="0" applyNumberFormat="1" applyFont="1" applyBorder="1" applyAlignment="1">
      <alignment horizontal="right"/>
    </xf>
    <xf numFmtId="0" fontId="13" fillId="2" borderId="0" xfId="1" applyFont="1" applyAlignment="1">
      <alignment horizontal="centerContinuous"/>
    </xf>
    <xf numFmtId="177" fontId="7" fillId="3" borderId="35" xfId="0" applyNumberFormat="1" applyFont="1" applyFill="1" applyBorder="1" applyAlignment="1">
      <alignment horizontal="right"/>
    </xf>
    <xf numFmtId="0" fontId="28" fillId="0" borderId="8" xfId="0" applyFont="1" applyBorder="1"/>
    <xf numFmtId="0" fontId="28" fillId="0" borderId="3" xfId="0" applyFont="1" applyBorder="1"/>
    <xf numFmtId="0" fontId="28" fillId="0" borderId="14" xfId="0" applyFont="1" applyBorder="1"/>
    <xf numFmtId="0" fontId="28" fillId="0" borderId="12" xfId="0" applyFont="1" applyBorder="1"/>
    <xf numFmtId="173" fontId="0" fillId="0" borderId="13" xfId="0" applyNumberFormat="1" applyBorder="1"/>
    <xf numFmtId="173" fontId="0" fillId="0" borderId="9" xfId="0" applyNumberFormat="1" applyBorder="1"/>
    <xf numFmtId="173" fontId="0" fillId="0" borderId="15" xfId="0" applyNumberFormat="1" applyBorder="1"/>
    <xf numFmtId="177" fontId="7" fillId="3" borderId="35" xfId="0" applyNumberFormat="1" applyFont="1" applyFill="1" applyBorder="1"/>
    <xf numFmtId="0" fontId="0" fillId="0" borderId="54" xfId="0" applyBorder="1"/>
    <xf numFmtId="177" fontId="28" fillId="7" borderId="55" xfId="0" applyNumberFormat="1" applyFont="1" applyFill="1" applyBorder="1" applyAlignment="1">
      <alignment horizontal="center"/>
    </xf>
    <xf numFmtId="177" fontId="28" fillId="7" borderId="53" xfId="0" applyNumberFormat="1" applyFont="1" applyFill="1" applyBorder="1" applyAlignment="1">
      <alignment horizontal="center"/>
    </xf>
    <xf numFmtId="177" fontId="28" fillId="7" borderId="58" xfId="0" applyNumberFormat="1" applyFont="1" applyFill="1" applyBorder="1" applyAlignment="1">
      <alignment horizontal="center"/>
    </xf>
    <xf numFmtId="177" fontId="28" fillId="7" borderId="56" xfId="0" applyNumberFormat="1" applyFont="1" applyFill="1" applyBorder="1" applyAlignment="1">
      <alignment horizontal="center"/>
    </xf>
    <xf numFmtId="177" fontId="29" fillId="6" borderId="0" xfId="0" applyNumberFormat="1" applyFont="1" applyFill="1" applyAlignment="1">
      <alignment horizontal="center"/>
    </xf>
    <xf numFmtId="177" fontId="28" fillId="7" borderId="26" xfId="0" applyNumberFormat="1" applyFont="1" applyFill="1" applyBorder="1" applyAlignment="1">
      <alignment horizontal="center"/>
    </xf>
    <xf numFmtId="177" fontId="28" fillId="7" borderId="57" xfId="0" applyNumberFormat="1" applyFont="1" applyFill="1" applyBorder="1" applyAlignment="1">
      <alignment horizontal="center"/>
    </xf>
    <xf numFmtId="177" fontId="28" fillId="7" borderId="54" xfId="0" applyNumberFormat="1" applyFont="1" applyFill="1" applyBorder="1" applyAlignment="1">
      <alignment horizontal="center"/>
    </xf>
    <xf numFmtId="177" fontId="28" fillId="7" borderId="59" xfId="0" applyNumberFormat="1" applyFont="1" applyFill="1" applyBorder="1" applyAlignment="1">
      <alignment horizontal="center"/>
    </xf>
    <xf numFmtId="0" fontId="0" fillId="0" borderId="19" xfId="0" applyBorder="1"/>
    <xf numFmtId="0" fontId="7" fillId="0" borderId="19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36" fillId="0" borderId="54" xfId="0" applyFont="1" applyBorder="1"/>
    <xf numFmtId="0" fontId="8" fillId="0" borderId="54" xfId="0" applyFont="1" applyBorder="1"/>
    <xf numFmtId="0" fontId="18" fillId="4" borderId="15" xfId="0" applyFont="1" applyFill="1" applyBorder="1"/>
    <xf numFmtId="0" fontId="7" fillId="4" borderId="25" xfId="0" applyFont="1" applyFill="1" applyBorder="1"/>
    <xf numFmtId="0" fontId="28" fillId="4" borderId="0" xfId="0" applyFont="1" applyFill="1" applyAlignment="1">
      <alignment horizontal="right"/>
    </xf>
    <xf numFmtId="0" fontId="37" fillId="4" borderId="0" xfId="0" applyFont="1" applyFill="1"/>
    <xf numFmtId="172" fontId="10" fillId="4" borderId="0" xfId="0" applyNumberFormat="1" applyFont="1" applyFill="1"/>
    <xf numFmtId="179" fontId="13" fillId="2" borderId="41" xfId="1" applyNumberFormat="1" applyFont="1" applyBorder="1" applyAlignment="1">
      <alignment horizontal="center"/>
    </xf>
    <xf numFmtId="174" fontId="13" fillId="2" borderId="19" xfId="1" applyNumberFormat="1" applyFont="1" applyBorder="1" applyAlignment="1">
      <alignment horizontal="center"/>
    </xf>
    <xf numFmtId="174" fontId="13" fillId="2" borderId="33" xfId="1" applyNumberFormat="1" applyFont="1" applyBorder="1" applyAlignment="1">
      <alignment horizontal="center"/>
    </xf>
    <xf numFmtId="173" fontId="13" fillId="2" borderId="49" xfId="1" applyNumberFormat="1" applyFont="1" applyBorder="1" applyAlignment="1">
      <alignment horizontal="center"/>
    </xf>
    <xf numFmtId="173" fontId="13" fillId="2" borderId="50" xfId="1" applyNumberFormat="1" applyFont="1" applyBorder="1" applyAlignment="1">
      <alignment horizontal="center"/>
    </xf>
    <xf numFmtId="173" fontId="13" fillId="2" borderId="51" xfId="1" applyNumberFormat="1" applyFont="1" applyBorder="1" applyAlignment="1">
      <alignment horizontal="center"/>
    </xf>
    <xf numFmtId="173" fontId="13" fillId="2" borderId="19" xfId="1" applyNumberFormat="1" applyFont="1" applyBorder="1" applyAlignment="1">
      <alignment horizontal="center"/>
    </xf>
    <xf numFmtId="173" fontId="13" fillId="2" borderId="33" xfId="1" applyNumberFormat="1" applyFont="1" applyBorder="1" applyAlignment="1">
      <alignment horizontal="center"/>
    </xf>
    <xf numFmtId="177" fontId="38" fillId="9" borderId="55" xfId="3" applyNumberFormat="1" applyBorder="1" applyAlignment="1">
      <alignment horizontal="center"/>
    </xf>
    <xf numFmtId="177" fontId="38" fillId="9" borderId="56" xfId="3" applyNumberFormat="1" applyBorder="1" applyAlignment="1">
      <alignment horizontal="center"/>
    </xf>
    <xf numFmtId="177" fontId="38" fillId="9" borderId="57" xfId="3" applyNumberFormat="1" applyBorder="1" applyAlignment="1">
      <alignment horizontal="center"/>
    </xf>
    <xf numFmtId="177" fontId="38" fillId="9" borderId="53" xfId="3" applyNumberFormat="1" applyBorder="1" applyAlignment="1">
      <alignment horizontal="center"/>
    </xf>
    <xf numFmtId="177" fontId="38" fillId="9" borderId="58" xfId="3" applyNumberFormat="1" applyBorder="1" applyAlignment="1">
      <alignment horizontal="center"/>
    </xf>
    <xf numFmtId="177" fontId="38" fillId="9" borderId="26" xfId="3" applyNumberFormat="1" applyBorder="1" applyAlignment="1">
      <alignment horizontal="center"/>
    </xf>
    <xf numFmtId="177" fontId="38" fillId="9" borderId="59" xfId="3" applyNumberFormat="1" applyBorder="1" applyAlignment="1">
      <alignment horizontal="center"/>
    </xf>
    <xf numFmtId="177" fontId="38" fillId="9" borderId="54" xfId="3" applyNumberFormat="1" applyBorder="1" applyAlignment="1">
      <alignment horizontal="center"/>
    </xf>
    <xf numFmtId="177" fontId="38" fillId="8" borderId="36" xfId="2" applyNumberFormat="1" applyBorder="1" applyAlignment="1">
      <alignment horizontal="center"/>
    </xf>
    <xf numFmtId="177" fontId="38" fillId="8" borderId="20" xfId="2" applyNumberFormat="1" applyBorder="1" applyAlignment="1">
      <alignment horizontal="center"/>
    </xf>
    <xf numFmtId="177" fontId="38" fillId="8" borderId="38" xfId="2" applyNumberFormat="1" applyBorder="1" applyAlignment="1">
      <alignment horizontal="center"/>
    </xf>
    <xf numFmtId="177" fontId="38" fillId="8" borderId="41" xfId="2" applyNumberFormat="1" applyBorder="1" applyAlignment="1">
      <alignment horizontal="center"/>
    </xf>
    <xf numFmtId="177" fontId="38" fillId="8" borderId="39" xfId="2" applyNumberFormat="1" applyBorder="1" applyAlignment="1">
      <alignment horizontal="center"/>
    </xf>
    <xf numFmtId="177" fontId="38" fillId="8" borderId="19" xfId="2" applyNumberFormat="1" applyBorder="1" applyAlignment="1">
      <alignment horizontal="center"/>
    </xf>
    <xf numFmtId="177" fontId="38" fillId="8" borderId="40" xfId="2" applyNumberFormat="1" applyBorder="1" applyAlignment="1">
      <alignment horizontal="center"/>
    </xf>
    <xf numFmtId="177" fontId="38" fillId="8" borderId="42" xfId="2" applyNumberFormat="1" applyBorder="1" applyAlignment="1">
      <alignment horizontal="center"/>
    </xf>
    <xf numFmtId="0" fontId="13" fillId="2" borderId="10" xfId="1" applyFont="1" applyBorder="1" applyAlignment="1">
      <alignment horizontal="centerContinuous"/>
    </xf>
    <xf numFmtId="0" fontId="13" fillId="2" borderId="11" xfId="1" applyFont="1" applyBorder="1" applyAlignment="1">
      <alignment horizontal="centerContinuous"/>
    </xf>
    <xf numFmtId="0" fontId="39" fillId="0" borderId="0" xfId="0" applyFont="1"/>
    <xf numFmtId="0" fontId="39" fillId="0" borderId="0" xfId="0" applyFont="1" applyAlignment="1">
      <alignment horizontal="right"/>
    </xf>
  </cellXfs>
  <cellStyles count="4">
    <cellStyle name="20% - Accent1" xfId="2" builtinId="30"/>
    <cellStyle name="40% - Accent1" xfId="3" builtinId="31"/>
    <cellStyle name="Accent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198120</xdr:colOff>
      <xdr:row>0</xdr:row>
      <xdr:rowOff>60960</xdr:rowOff>
    </xdr:from>
    <xdr:to>
      <xdr:col>7</xdr:col>
      <xdr:colOff>481329</xdr:colOff>
      <xdr:row>8</xdr:row>
      <xdr:rowOff>30972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8E7CB8-12E0-47E4-BA27-AB857A4112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499" t="16501" r="27078" b="12376"/>
        <a:stretch>
          <a:fillRect/>
        </a:stretch>
      </xdr:blipFill>
      <xdr:spPr bwMode="auto">
        <a:xfrm>
          <a:off x="198120" y="60960"/>
          <a:ext cx="4550409" cy="155497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548640</xdr:colOff>
      <xdr:row>8</xdr:row>
      <xdr:rowOff>174548</xdr:rowOff>
    </xdr:from>
    <xdr:to>
      <xdr:col>11</xdr:col>
      <xdr:colOff>198120</xdr:colOff>
      <xdr:row>13</xdr:row>
      <xdr:rowOff>46432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CB3D69A-CD0D-E351-D23F-6843F7142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6640" y="1759508"/>
          <a:ext cx="3307080" cy="984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2" Type="http://schemas.microsoft.com/office/2011/relationships/webextension" Target="webextension2.xml"/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  <wetp:taskpane dockstate="right" visibility="0" width="350" row="1">
    <wetp:webextensionref xmlns:r="http://schemas.openxmlformats.org/officeDocument/2006/relationships" r:id="rId2"/>
  </wetp:taskpane>
</wetp:taskpanes>
</file>

<file path=xl/webextensions/webextension1.xml><?xml version="1.0" encoding="utf-8"?>
<we:webextension xmlns:we="http://schemas.microsoft.com/office/webextensions/webextension/2010/11" id="{A07DBDB5-E1D6-4C08-A037-52A3F49B7F5C}">
  <we:reference id="wa200009404" version="1.0.0.8" store="en-US" storeType="OMEX"/>
  <we:alternateReferences>
    <we:reference id="wa200009404" version="1.0.0.8" store="wa200009404" storeType="OMEX"/>
  </we:alternateReferences>
  <we:properties>
    <we:property name="Office.AutoShowTaskpaneWithDocument" value="true"/>
  </we:properties>
  <we:bindings/>
  <we:snapshot xmlns:r="http://schemas.openxmlformats.org/officeDocument/2006/relationships"/>
</we:webextension>
</file>

<file path=xl/webextensions/webextension2.xml><?xml version="1.0" encoding="utf-8"?>
<we:webextension xmlns:we="http://schemas.microsoft.com/office/webextensions/webextension/2010/11" id="{C438F300-CA2C-4629-A59F-5B9BFC72BF04}">
  <we:reference id="wa200009152" version="1.0.0.4" store="en-US" storeType="OMEX"/>
  <we:alternateReferences>
    <we:reference id="wa200009152" version="1.0.0.4" store="wa200009152" storeType="OMEX"/>
  </we:alternateReferences>
  <we:properties>
    <we:property name="Office.AutoShowTaskpaneWithDocument" value="true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2FF11-2D53-43EB-8438-A8F466708729}">
  <dimension ref="B10:E14"/>
  <sheetViews>
    <sheetView showGridLines="0" tabSelected="1" workbookViewId="0"/>
  </sheetViews>
  <sheetFormatPr defaultRowHeight="15.6" x14ac:dyDescent="0.3"/>
  <sheetData>
    <row r="10" spans="2:5" ht="18" x14ac:dyDescent="0.35">
      <c r="B10" s="221" t="s">
        <v>274</v>
      </c>
      <c r="C10" s="221"/>
      <c r="D10" s="221"/>
      <c r="E10" s="221"/>
    </row>
    <row r="11" spans="2:5" ht="18" x14ac:dyDescent="0.35">
      <c r="B11" s="222"/>
      <c r="C11" s="222"/>
      <c r="D11" s="222"/>
      <c r="E11" s="222"/>
    </row>
    <row r="12" spans="2:5" ht="18" x14ac:dyDescent="0.35">
      <c r="B12" s="223" t="s">
        <v>272</v>
      </c>
      <c r="C12" s="223"/>
      <c r="D12" s="223"/>
      <c r="E12" s="223"/>
    </row>
    <row r="13" spans="2:5" ht="18" x14ac:dyDescent="0.35">
      <c r="B13" s="222"/>
      <c r="C13" s="222"/>
      <c r="D13" s="222"/>
      <c r="E13" s="222"/>
    </row>
    <row r="14" spans="2:5" ht="18" x14ac:dyDescent="0.35">
      <c r="B14" s="223" t="s">
        <v>273</v>
      </c>
      <c r="C14" s="223"/>
      <c r="D14" s="223"/>
      <c r="E14" s="223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D2D61-B13E-4BC4-B2E1-A30586867EEB}">
  <dimension ref="B2:I63"/>
  <sheetViews>
    <sheetView showGridLines="0" zoomScale="64" workbookViewId="0"/>
  </sheetViews>
  <sheetFormatPr defaultRowHeight="15.6" x14ac:dyDescent="0.3"/>
  <cols>
    <col min="1" max="1" width="2.5546875" customWidth="1"/>
    <col min="2" max="2" width="63" customWidth="1"/>
    <col min="3" max="9" width="21.33203125" customWidth="1"/>
  </cols>
  <sheetData>
    <row r="2" spans="2:9" ht="17.399999999999999" x14ac:dyDescent="0.35">
      <c r="B2" s="1" t="s">
        <v>0</v>
      </c>
    </row>
    <row r="3" spans="2:9" x14ac:dyDescent="0.3">
      <c r="B3" s="3" t="s">
        <v>78</v>
      </c>
    </row>
    <row r="4" spans="2:9" x14ac:dyDescent="0.3">
      <c r="B4" s="4" t="s">
        <v>2</v>
      </c>
    </row>
    <row r="6" spans="2:9" x14ac:dyDescent="0.3">
      <c r="C6" s="26" t="s">
        <v>3</v>
      </c>
      <c r="D6" s="23"/>
      <c r="E6" s="23"/>
      <c r="F6" s="23"/>
      <c r="G6" s="23"/>
      <c r="H6" s="23"/>
      <c r="I6" s="23"/>
    </row>
    <row r="7" spans="2:9" x14ac:dyDescent="0.3">
      <c r="B7" s="24"/>
      <c r="C7" s="25">
        <v>2019</v>
      </c>
      <c r="D7" s="25">
        <v>2020</v>
      </c>
      <c r="E7" s="25">
        <v>2021</v>
      </c>
      <c r="F7" s="25">
        <v>2022</v>
      </c>
      <c r="G7" s="25">
        <v>2023</v>
      </c>
      <c r="H7" s="25">
        <v>2024</v>
      </c>
      <c r="I7" s="25">
        <v>2025</v>
      </c>
    </row>
    <row r="8" spans="2:9" x14ac:dyDescent="0.3">
      <c r="B8" s="3" t="s">
        <v>79</v>
      </c>
    </row>
    <row r="9" spans="2:9" x14ac:dyDescent="0.3">
      <c r="B9" s="2" t="s">
        <v>80</v>
      </c>
      <c r="C9" s="16">
        <f>'Income Statement'!C32</f>
        <v>1557</v>
      </c>
      <c r="D9" s="16">
        <f>'Income Statement'!D32</f>
        <v>1826</v>
      </c>
      <c r="E9" s="16">
        <f>'Income Statement'!E32</f>
        <v>2062</v>
      </c>
      <c r="F9" s="16">
        <f>'Income Statement'!F32</f>
        <v>2066</v>
      </c>
      <c r="G9" s="16">
        <f>'Income Statement'!G32</f>
        <v>2384</v>
      </c>
      <c r="H9" s="16">
        <f>'Income Statement'!H32</f>
        <v>2963</v>
      </c>
      <c r="I9" s="16">
        <f>'Income Statement'!I32</f>
        <v>3869</v>
      </c>
    </row>
    <row r="10" spans="2:9" x14ac:dyDescent="0.3">
      <c r="B10" s="3" t="s">
        <v>81</v>
      </c>
    </row>
    <row r="11" spans="2:9" x14ac:dyDescent="0.3">
      <c r="B11" s="2" t="s">
        <v>82</v>
      </c>
      <c r="C11" s="8">
        <v>199</v>
      </c>
      <c r="D11" s="8">
        <v>189</v>
      </c>
      <c r="E11" s="8">
        <v>166</v>
      </c>
      <c r="F11" s="8">
        <v>187</v>
      </c>
      <c r="G11" s="8">
        <v>160</v>
      </c>
      <c r="H11" s="8">
        <v>159</v>
      </c>
      <c r="I11" s="8">
        <v>172</v>
      </c>
    </row>
    <row r="12" spans="2:9" x14ac:dyDescent="0.3">
      <c r="B12" s="2" t="s">
        <v>83</v>
      </c>
      <c r="C12" s="8">
        <v>26</v>
      </c>
      <c r="D12" s="8">
        <v>29</v>
      </c>
      <c r="E12" s="8">
        <v>197</v>
      </c>
      <c r="F12" s="8">
        <v>559</v>
      </c>
      <c r="G12" s="8">
        <v>646</v>
      </c>
      <c r="H12" s="8">
        <v>630</v>
      </c>
      <c r="I12" s="8">
        <v>637</v>
      </c>
    </row>
    <row r="13" spans="2:9" x14ac:dyDescent="0.3">
      <c r="B13" s="2" t="s">
        <v>84</v>
      </c>
      <c r="C13" s="8">
        <v>0</v>
      </c>
      <c r="D13" s="8">
        <v>60</v>
      </c>
      <c r="E13" s="8">
        <v>62</v>
      </c>
      <c r="F13" s="8">
        <v>83</v>
      </c>
      <c r="G13" s="8">
        <v>90</v>
      </c>
      <c r="H13" s="8">
        <v>81</v>
      </c>
      <c r="I13" s="8">
        <v>75</v>
      </c>
    </row>
    <row r="14" spans="2:9" x14ac:dyDescent="0.3">
      <c r="B14" s="2" t="s">
        <v>85</v>
      </c>
      <c r="C14" s="8">
        <v>401</v>
      </c>
      <c r="D14" s="8">
        <v>435</v>
      </c>
      <c r="E14" s="8">
        <v>753</v>
      </c>
      <c r="F14" s="8">
        <v>1308</v>
      </c>
      <c r="G14" s="8">
        <v>1712</v>
      </c>
      <c r="H14" s="8">
        <v>1940</v>
      </c>
      <c r="I14" s="8">
        <v>1968</v>
      </c>
    </row>
    <row r="15" spans="2:9" x14ac:dyDescent="0.3">
      <c r="B15" s="2" t="s">
        <v>86</v>
      </c>
      <c r="C15" s="8">
        <v>-7</v>
      </c>
      <c r="D15" s="8">
        <v>-179</v>
      </c>
      <c r="E15" s="8">
        <v>-42</v>
      </c>
      <c r="F15" s="8">
        <v>120</v>
      </c>
      <c r="G15" s="8">
        <v>-628</v>
      </c>
      <c r="H15" s="8">
        <v>-554</v>
      </c>
      <c r="I15" s="8">
        <v>-435</v>
      </c>
    </row>
    <row r="16" spans="2:9" x14ac:dyDescent="0.3">
      <c r="B16" s="2" t="s">
        <v>87</v>
      </c>
      <c r="C16" s="8">
        <v>0</v>
      </c>
      <c r="D16" s="8">
        <v>-566</v>
      </c>
      <c r="E16" s="8">
        <v>-41</v>
      </c>
      <c r="F16" s="8">
        <v>0</v>
      </c>
      <c r="G16" s="8">
        <v>0</v>
      </c>
      <c r="H16" s="8">
        <v>-96</v>
      </c>
      <c r="I16" s="8">
        <v>0</v>
      </c>
    </row>
    <row r="17" spans="2:9" x14ac:dyDescent="0.3">
      <c r="B17" s="2" t="s">
        <v>88</v>
      </c>
      <c r="C17" s="8">
        <v>0</v>
      </c>
      <c r="D17" s="8">
        <v>482</v>
      </c>
      <c r="E17" s="8">
        <v>143</v>
      </c>
      <c r="F17" s="8">
        <v>0</v>
      </c>
      <c r="G17" s="8">
        <v>0</v>
      </c>
      <c r="H17" s="8">
        <v>98</v>
      </c>
      <c r="I17" s="8">
        <v>0</v>
      </c>
    </row>
    <row r="18" spans="2:9" x14ac:dyDescent="0.3">
      <c r="B18" s="2" t="s">
        <v>89</v>
      </c>
      <c r="C18" s="8">
        <v>15</v>
      </c>
      <c r="D18" s="8">
        <v>6</v>
      </c>
      <c r="E18" s="8">
        <v>-39</v>
      </c>
      <c r="F18" s="8">
        <v>2</v>
      </c>
      <c r="G18" s="8">
        <v>81</v>
      </c>
      <c r="H18" s="8">
        <v>92</v>
      </c>
      <c r="I18" s="8">
        <v>127</v>
      </c>
    </row>
    <row r="19" spans="2:9" x14ac:dyDescent="0.3">
      <c r="B19" s="3" t="s">
        <v>90</v>
      </c>
    </row>
    <row r="20" spans="2:9" x14ac:dyDescent="0.3">
      <c r="B20" s="2" t="s">
        <v>91</v>
      </c>
      <c r="C20" s="8">
        <v>11</v>
      </c>
      <c r="D20" s="8">
        <v>-59</v>
      </c>
      <c r="E20" s="8">
        <v>-104</v>
      </c>
      <c r="F20" s="8">
        <v>-31</v>
      </c>
      <c r="G20" s="8">
        <v>42</v>
      </c>
      <c r="H20" s="8">
        <v>-52</v>
      </c>
      <c r="I20" s="8">
        <v>-71</v>
      </c>
    </row>
    <row r="21" spans="2:9" x14ac:dyDescent="0.3">
      <c r="B21" s="2" t="s">
        <v>92</v>
      </c>
      <c r="C21" s="8">
        <v>5</v>
      </c>
      <c r="D21" s="8">
        <v>53</v>
      </c>
      <c r="E21" s="8">
        <v>-51</v>
      </c>
      <c r="F21" s="8">
        <v>29</v>
      </c>
      <c r="G21" s="8">
        <v>64</v>
      </c>
      <c r="H21" s="8">
        <v>-48</v>
      </c>
      <c r="I21" s="8">
        <v>27</v>
      </c>
    </row>
    <row r="22" spans="2:9" x14ac:dyDescent="0.3">
      <c r="B22" s="2" t="s">
        <v>93</v>
      </c>
      <c r="C22" s="8">
        <v>-37</v>
      </c>
      <c r="D22" s="8">
        <v>-31</v>
      </c>
      <c r="E22" s="8">
        <v>30</v>
      </c>
      <c r="F22" s="8">
        <v>-121</v>
      </c>
      <c r="G22" s="8">
        <v>-75</v>
      </c>
      <c r="H22" s="8">
        <v>-30</v>
      </c>
      <c r="I22" s="8">
        <v>-283</v>
      </c>
    </row>
    <row r="23" spans="2:9" x14ac:dyDescent="0.3">
      <c r="B23" s="2" t="s">
        <v>94</v>
      </c>
      <c r="C23" s="8">
        <v>90</v>
      </c>
      <c r="D23" s="8">
        <v>33</v>
      </c>
      <c r="E23" s="8">
        <v>206</v>
      </c>
      <c r="F23" s="8">
        <v>-95</v>
      </c>
      <c r="G23" s="8">
        <v>-97</v>
      </c>
      <c r="H23" s="8">
        <v>133</v>
      </c>
      <c r="I23" s="8">
        <v>73</v>
      </c>
    </row>
    <row r="24" spans="2:9" x14ac:dyDescent="0.3">
      <c r="B24" s="2" t="s">
        <v>95</v>
      </c>
      <c r="C24" s="8">
        <v>16</v>
      </c>
      <c r="D24" s="8">
        <v>100</v>
      </c>
      <c r="E24" s="8">
        <v>-70</v>
      </c>
      <c r="F24" s="8">
        <v>-357</v>
      </c>
      <c r="G24" s="8">
        <v>88</v>
      </c>
      <c r="H24" s="8">
        <v>257</v>
      </c>
      <c r="I24" s="8">
        <v>-64</v>
      </c>
    </row>
    <row r="25" spans="2:9" x14ac:dyDescent="0.3">
      <c r="B25" s="2" t="s">
        <v>96</v>
      </c>
      <c r="C25" s="8">
        <v>39</v>
      </c>
      <c r="D25" s="8">
        <v>38</v>
      </c>
      <c r="E25" s="8">
        <v>22</v>
      </c>
      <c r="F25" s="8">
        <v>71</v>
      </c>
      <c r="G25" s="8">
        <v>111</v>
      </c>
      <c r="H25" s="8">
        <v>-49</v>
      </c>
      <c r="I25" s="8">
        <v>142</v>
      </c>
    </row>
    <row r="26" spans="2:9" x14ac:dyDescent="0.3">
      <c r="B26" s="2" t="s">
        <v>97</v>
      </c>
      <c r="C26" s="8">
        <v>0</v>
      </c>
      <c r="D26" s="8">
        <v>0</v>
      </c>
      <c r="E26" s="8">
        <v>0</v>
      </c>
      <c r="F26" s="8">
        <v>0</v>
      </c>
      <c r="G26" s="8">
        <v>690</v>
      </c>
      <c r="H26" s="8">
        <v>-691</v>
      </c>
      <c r="I26" s="8">
        <v>0</v>
      </c>
    </row>
    <row r="27" spans="2:9" x14ac:dyDescent="0.3">
      <c r="B27" s="2" t="s">
        <v>98</v>
      </c>
      <c r="C27" s="8">
        <v>0</v>
      </c>
      <c r="D27" s="8">
        <v>-61</v>
      </c>
      <c r="E27" s="8">
        <v>-66</v>
      </c>
      <c r="F27" s="8">
        <v>-83</v>
      </c>
      <c r="G27" s="8">
        <v>-81</v>
      </c>
      <c r="H27" s="8">
        <v>-71</v>
      </c>
      <c r="I27" s="8">
        <v>-77</v>
      </c>
    </row>
    <row r="28" spans="2:9" x14ac:dyDescent="0.3">
      <c r="B28" s="2" t="s">
        <v>99</v>
      </c>
      <c r="C28" s="8">
        <v>9</v>
      </c>
      <c r="D28" s="8">
        <v>59</v>
      </c>
      <c r="E28" s="8">
        <v>22</v>
      </c>
      <c r="F28" s="8">
        <v>151</v>
      </c>
      <c r="G28" s="8">
        <v>-141</v>
      </c>
      <c r="H28" s="8">
        <v>122</v>
      </c>
      <c r="I28" s="8">
        <v>47</v>
      </c>
    </row>
    <row r="29" spans="2:9" ht="16.2" thickBot="1" x14ac:dyDescent="0.35">
      <c r="B29" s="10" t="s">
        <v>100</v>
      </c>
      <c r="C29" s="11">
        <f t="shared" ref="C29:I29" si="0">C9+SUM(C11:C18)+SUM(C20:C28)</f>
        <v>2324</v>
      </c>
      <c r="D29" s="11">
        <f t="shared" si="0"/>
        <v>2414</v>
      </c>
      <c r="E29" s="11">
        <f t="shared" si="0"/>
        <v>3250</v>
      </c>
      <c r="F29" s="11">
        <f t="shared" si="0"/>
        <v>3889</v>
      </c>
      <c r="G29" s="11">
        <f t="shared" si="0"/>
        <v>5046</v>
      </c>
      <c r="H29" s="11">
        <f t="shared" si="0"/>
        <v>4884</v>
      </c>
      <c r="I29" s="11">
        <f t="shared" si="0"/>
        <v>6207</v>
      </c>
    </row>
    <row r="31" spans="2:9" x14ac:dyDescent="0.3">
      <c r="B31" s="3" t="s">
        <v>101</v>
      </c>
    </row>
    <row r="32" spans="2:9" x14ac:dyDescent="0.3">
      <c r="B32" s="2" t="s">
        <v>102</v>
      </c>
      <c r="C32" s="8">
        <v>-752</v>
      </c>
      <c r="D32" s="8">
        <v>-701</v>
      </c>
      <c r="E32" s="8">
        <v>-1489</v>
      </c>
      <c r="F32" s="8">
        <v>-830</v>
      </c>
      <c r="G32" s="8">
        <v>-1015</v>
      </c>
      <c r="H32" s="8">
        <v>-780</v>
      </c>
      <c r="I32" s="8">
        <v>-2363</v>
      </c>
    </row>
    <row r="33" spans="2:9" x14ac:dyDescent="0.3">
      <c r="B33" s="2" t="s">
        <v>103</v>
      </c>
      <c r="C33" s="8">
        <v>84</v>
      </c>
      <c r="D33" s="8">
        <v>130</v>
      </c>
      <c r="E33" s="8">
        <v>229</v>
      </c>
      <c r="F33" s="8">
        <v>1524</v>
      </c>
      <c r="G33" s="8">
        <v>240</v>
      </c>
      <c r="H33" s="8">
        <v>526</v>
      </c>
      <c r="I33" s="8">
        <v>320</v>
      </c>
    </row>
    <row r="34" spans="2:9" x14ac:dyDescent="0.3">
      <c r="B34" s="2" t="s">
        <v>104</v>
      </c>
      <c r="C34" s="8">
        <v>303</v>
      </c>
      <c r="D34" s="8">
        <v>596</v>
      </c>
      <c r="E34" s="8">
        <v>550</v>
      </c>
      <c r="F34" s="8">
        <v>234</v>
      </c>
      <c r="G34" s="8">
        <v>449</v>
      </c>
      <c r="H34" s="8">
        <v>676</v>
      </c>
      <c r="I34" s="8">
        <v>864</v>
      </c>
    </row>
    <row r="35" spans="2:9" x14ac:dyDescent="0.3">
      <c r="B35" s="2" t="s">
        <v>105</v>
      </c>
      <c r="C35" s="8">
        <v>-76</v>
      </c>
      <c r="D35" s="8">
        <v>-59</v>
      </c>
      <c r="E35" s="8">
        <v>-53</v>
      </c>
      <c r="F35" s="8">
        <v>-157</v>
      </c>
      <c r="G35" s="8">
        <v>-210</v>
      </c>
      <c r="H35" s="8">
        <v>-191</v>
      </c>
      <c r="I35" s="8">
        <v>-84</v>
      </c>
    </row>
    <row r="36" spans="2:9" x14ac:dyDescent="0.3">
      <c r="B36" s="2" t="s">
        <v>106</v>
      </c>
      <c r="C36" s="8">
        <v>-79</v>
      </c>
      <c r="D36" s="8">
        <v>-78</v>
      </c>
      <c r="E36" s="8">
        <v>-72</v>
      </c>
      <c r="F36" s="8">
        <v>-72</v>
      </c>
      <c r="G36" s="8">
        <v>-50</v>
      </c>
      <c r="H36" s="8">
        <v>-59</v>
      </c>
      <c r="I36" s="8">
        <v>-40</v>
      </c>
    </row>
    <row r="37" spans="2:9" x14ac:dyDescent="0.3">
      <c r="B37" s="2" t="s">
        <v>107</v>
      </c>
      <c r="C37" s="8">
        <v>-64</v>
      </c>
      <c r="D37" s="8">
        <v>0</v>
      </c>
      <c r="E37" s="8">
        <v>-3064</v>
      </c>
      <c r="F37" s="8">
        <v>-5682</v>
      </c>
      <c r="G37" s="8">
        <v>-33</v>
      </c>
      <c r="H37" s="8">
        <v>-83</v>
      </c>
      <c r="I37" s="8">
        <v>-184</v>
      </c>
    </row>
    <row r="38" spans="2:9" x14ac:dyDescent="0.3">
      <c r="B38" s="2" t="s">
        <v>108</v>
      </c>
      <c r="C38" s="8">
        <v>-316</v>
      </c>
      <c r="D38" s="8">
        <v>-243</v>
      </c>
      <c r="E38" s="8">
        <v>-232</v>
      </c>
      <c r="F38" s="8">
        <v>-933</v>
      </c>
      <c r="G38" s="8">
        <v>-1983</v>
      </c>
      <c r="H38" s="8">
        <v>-2538</v>
      </c>
      <c r="I38" s="8">
        <v>-3992</v>
      </c>
    </row>
    <row r="39" spans="2:9" x14ac:dyDescent="0.3">
      <c r="B39" s="2" t="s">
        <v>109</v>
      </c>
      <c r="C39" s="8">
        <v>267</v>
      </c>
      <c r="D39" s="8">
        <v>287</v>
      </c>
      <c r="E39" s="8">
        <v>136</v>
      </c>
      <c r="F39" s="8">
        <v>519</v>
      </c>
      <c r="G39" s="8">
        <v>1727</v>
      </c>
      <c r="H39" s="8">
        <v>2068</v>
      </c>
      <c r="I39" s="8">
        <v>2706</v>
      </c>
    </row>
    <row r="40" spans="2:9" x14ac:dyDescent="0.3">
      <c r="B40" s="2" t="s">
        <v>110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234</v>
      </c>
      <c r="I40" s="8">
        <v>562</v>
      </c>
    </row>
    <row r="41" spans="2:9" x14ac:dyDescent="0.3">
      <c r="B41" s="2" t="s">
        <v>111</v>
      </c>
      <c r="C41" s="8">
        <v>-2</v>
      </c>
      <c r="D41" s="8">
        <v>-29</v>
      </c>
      <c r="E41" s="8">
        <v>30</v>
      </c>
      <c r="F41" s="8">
        <v>-24</v>
      </c>
      <c r="G41" s="8">
        <v>-47</v>
      </c>
      <c r="H41" s="8">
        <v>-80</v>
      </c>
      <c r="I41" s="8">
        <v>-107</v>
      </c>
    </row>
    <row r="42" spans="2:9" x14ac:dyDescent="0.3">
      <c r="B42" s="2" t="s">
        <v>112</v>
      </c>
      <c r="C42" s="8">
        <v>69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</row>
    <row r="43" spans="2:9" ht="16.2" thickBot="1" x14ac:dyDescent="0.35">
      <c r="B43" s="10" t="s">
        <v>113</v>
      </c>
      <c r="C43" s="11">
        <f t="shared" ref="C43:I43" si="1">SUM(C32:C42)</f>
        <v>-566</v>
      </c>
      <c r="D43" s="11">
        <f t="shared" si="1"/>
        <v>-97</v>
      </c>
      <c r="E43" s="11">
        <f t="shared" si="1"/>
        <v>-3965</v>
      </c>
      <c r="F43" s="11">
        <f t="shared" si="1"/>
        <v>-5421</v>
      </c>
      <c r="G43" s="11">
        <f t="shared" si="1"/>
        <v>-922</v>
      </c>
      <c r="H43" s="11">
        <f t="shared" si="1"/>
        <v>-227</v>
      </c>
      <c r="I43" s="11">
        <f t="shared" si="1"/>
        <v>-2318</v>
      </c>
    </row>
    <row r="45" spans="2:9" x14ac:dyDescent="0.3">
      <c r="B45" s="3" t="s">
        <v>114</v>
      </c>
    </row>
    <row r="46" spans="2:9" x14ac:dyDescent="0.3">
      <c r="B46" s="2" t="s">
        <v>115</v>
      </c>
      <c r="C46" s="8">
        <v>0</v>
      </c>
      <c r="D46" s="8">
        <v>1983</v>
      </c>
      <c r="E46" s="8">
        <v>0</v>
      </c>
      <c r="F46" s="8">
        <v>4700</v>
      </c>
      <c r="G46" s="8">
        <v>0</v>
      </c>
      <c r="H46" s="8">
        <v>3956</v>
      </c>
      <c r="I46" s="8">
        <v>0</v>
      </c>
    </row>
    <row r="47" spans="2:9" x14ac:dyDescent="0.3">
      <c r="B47" s="2" t="s">
        <v>116</v>
      </c>
      <c r="C47" s="8">
        <v>48</v>
      </c>
      <c r="D47" s="8">
        <v>1000</v>
      </c>
      <c r="E47" s="8">
        <v>0</v>
      </c>
      <c r="F47" s="8">
        <v>182</v>
      </c>
      <c r="G47" s="8">
        <v>222</v>
      </c>
      <c r="H47" s="8">
        <v>280</v>
      </c>
      <c r="I47" s="8">
        <v>429</v>
      </c>
    </row>
    <row r="48" spans="2:9" x14ac:dyDescent="0.3">
      <c r="B48" s="2" t="s">
        <v>117</v>
      </c>
      <c r="C48" s="8">
        <v>0</v>
      </c>
      <c r="D48" s="8">
        <v>0</v>
      </c>
      <c r="E48" s="8">
        <v>-1000</v>
      </c>
      <c r="F48" s="8">
        <v>0</v>
      </c>
      <c r="G48" s="8">
        <v>-23</v>
      </c>
      <c r="H48" s="8">
        <v>-125</v>
      </c>
      <c r="I48" s="8">
        <v>0</v>
      </c>
    </row>
    <row r="49" spans="2:9" x14ac:dyDescent="0.3">
      <c r="B49" s="2" t="s">
        <v>118</v>
      </c>
      <c r="C49" s="8">
        <v>-50</v>
      </c>
      <c r="D49" s="8">
        <v>-50</v>
      </c>
      <c r="E49" s="8">
        <v>-338</v>
      </c>
      <c r="F49" s="8">
        <v>0</v>
      </c>
      <c r="G49" s="8">
        <v>-1009</v>
      </c>
      <c r="H49" s="8">
        <v>-4200</v>
      </c>
      <c r="I49" s="8">
        <v>-500</v>
      </c>
    </row>
    <row r="50" spans="2:9" x14ac:dyDescent="0.3">
      <c r="B50" s="2" t="s">
        <v>119</v>
      </c>
      <c r="C50" s="8">
        <v>284</v>
      </c>
      <c r="D50" s="8">
        <v>211</v>
      </c>
      <c r="E50" s="8">
        <v>196</v>
      </c>
      <c r="F50" s="8">
        <v>162</v>
      </c>
      <c r="G50" s="8">
        <v>228</v>
      </c>
      <c r="H50" s="8">
        <v>282</v>
      </c>
      <c r="I50" s="8">
        <v>398</v>
      </c>
    </row>
    <row r="51" spans="2:9" x14ac:dyDescent="0.3">
      <c r="B51" s="2" t="s">
        <v>120</v>
      </c>
      <c r="C51" s="8">
        <v>-251</v>
      </c>
      <c r="D51" s="8">
        <v>-244</v>
      </c>
      <c r="E51" s="8">
        <v>-383</v>
      </c>
      <c r="F51" s="8">
        <v>-611</v>
      </c>
      <c r="G51" s="8">
        <v>-633</v>
      </c>
      <c r="H51" s="8">
        <v>-1002</v>
      </c>
      <c r="I51" s="8">
        <v>-982</v>
      </c>
    </row>
    <row r="52" spans="2:9" x14ac:dyDescent="0.3">
      <c r="B52" s="2" t="s">
        <v>121</v>
      </c>
      <c r="C52" s="8">
        <v>-556</v>
      </c>
      <c r="D52" s="8">
        <v>-323</v>
      </c>
      <c r="E52" s="8">
        <v>-1005</v>
      </c>
      <c r="F52" s="8">
        <v>-1861</v>
      </c>
      <c r="G52" s="8">
        <v>-1967</v>
      </c>
      <c r="H52" s="8">
        <v>-1988</v>
      </c>
      <c r="I52" s="8">
        <v>-2772</v>
      </c>
    </row>
    <row r="53" spans="2:9" x14ac:dyDescent="0.3">
      <c r="B53" s="2" t="s">
        <v>122</v>
      </c>
      <c r="C53" s="8">
        <v>-501</v>
      </c>
      <c r="D53" s="8">
        <v>-561</v>
      </c>
      <c r="E53" s="8">
        <v>-646</v>
      </c>
      <c r="F53" s="8">
        <v>-774</v>
      </c>
      <c r="G53" s="8">
        <v>-889</v>
      </c>
      <c r="H53" s="8">
        <v>-1034</v>
      </c>
      <c r="I53" s="8">
        <v>-1189</v>
      </c>
    </row>
    <row r="54" spans="2:9" x14ac:dyDescent="0.3">
      <c r="B54" s="2" t="s">
        <v>123</v>
      </c>
      <c r="C54" s="8">
        <v>0</v>
      </c>
      <c r="D54" s="8">
        <v>19</v>
      </c>
      <c r="E54" s="8">
        <v>2</v>
      </c>
      <c r="F54" s="8">
        <v>-56</v>
      </c>
      <c r="G54" s="8">
        <v>-197</v>
      </c>
      <c r="H54" s="8">
        <v>3436</v>
      </c>
      <c r="I54" s="8">
        <v>3107</v>
      </c>
    </row>
    <row r="55" spans="2:9" x14ac:dyDescent="0.3">
      <c r="B55" s="2" t="s">
        <v>124</v>
      </c>
      <c r="C55" s="8">
        <v>-8</v>
      </c>
      <c r="D55" s="8">
        <v>-1</v>
      </c>
      <c r="E55" s="8">
        <v>-2</v>
      </c>
      <c r="F55" s="8">
        <v>-10</v>
      </c>
      <c r="G55" s="8">
        <v>-1</v>
      </c>
      <c r="H55" s="8">
        <v>-2</v>
      </c>
      <c r="I55" s="8">
        <v>-1</v>
      </c>
    </row>
    <row r="56" spans="2:9" ht="16.2" thickBot="1" x14ac:dyDescent="0.35">
      <c r="B56" s="10" t="s">
        <v>125</v>
      </c>
      <c r="C56" s="11">
        <f t="shared" ref="C56:I56" si="2">SUM(C46:C55)</f>
        <v>-1034</v>
      </c>
      <c r="D56" s="11">
        <f t="shared" si="2"/>
        <v>2034</v>
      </c>
      <c r="E56" s="11">
        <f t="shared" si="2"/>
        <v>-3176</v>
      </c>
      <c r="F56" s="11">
        <f t="shared" si="2"/>
        <v>1732</v>
      </c>
      <c r="G56" s="11">
        <f t="shared" si="2"/>
        <v>-4269</v>
      </c>
      <c r="H56" s="11">
        <f t="shared" si="2"/>
        <v>-397</v>
      </c>
      <c r="I56" s="11">
        <f t="shared" si="2"/>
        <v>-1510</v>
      </c>
    </row>
    <row r="58" spans="2:9" x14ac:dyDescent="0.3">
      <c r="B58" s="2" t="s">
        <v>126</v>
      </c>
      <c r="C58" s="8">
        <v>-3</v>
      </c>
      <c r="D58" s="8">
        <v>-6</v>
      </c>
      <c r="E58" s="8">
        <v>13</v>
      </c>
      <c r="F58" s="8">
        <v>-22</v>
      </c>
      <c r="G58" s="8">
        <v>0</v>
      </c>
      <c r="H58" s="8">
        <v>-13</v>
      </c>
      <c r="I58" s="8">
        <v>3</v>
      </c>
    </row>
    <row r="60" spans="2:9" ht="16.2" thickBot="1" x14ac:dyDescent="0.35">
      <c r="B60" s="10" t="s">
        <v>127</v>
      </c>
      <c r="C60" s="11">
        <f t="shared" ref="C60:I60" si="3">C29+C43+C56+C58</f>
        <v>721</v>
      </c>
      <c r="D60" s="11">
        <f t="shared" si="3"/>
        <v>4345</v>
      </c>
      <c r="E60" s="11">
        <f t="shared" si="3"/>
        <v>-3878</v>
      </c>
      <c r="F60" s="11">
        <f t="shared" si="3"/>
        <v>178</v>
      </c>
      <c r="G60" s="11">
        <f t="shared" si="3"/>
        <v>-145</v>
      </c>
      <c r="H60" s="11">
        <f t="shared" si="3"/>
        <v>4247</v>
      </c>
      <c r="I60" s="11">
        <f t="shared" si="3"/>
        <v>2382</v>
      </c>
    </row>
    <row r="62" spans="2:9" x14ac:dyDescent="0.3">
      <c r="B62" s="2" t="s">
        <v>128</v>
      </c>
      <c r="C62" s="8">
        <v>1631</v>
      </c>
      <c r="D62" s="17">
        <f t="shared" ref="D62:I62" si="4">C63</f>
        <v>2352</v>
      </c>
      <c r="E62" s="17">
        <f t="shared" si="4"/>
        <v>6697</v>
      </c>
      <c r="F62" s="17">
        <f t="shared" si="4"/>
        <v>2819</v>
      </c>
      <c r="G62" s="17">
        <f t="shared" si="4"/>
        <v>2997</v>
      </c>
      <c r="H62" s="17">
        <f t="shared" si="4"/>
        <v>2852</v>
      </c>
      <c r="I62" s="17">
        <f t="shared" si="4"/>
        <v>7099</v>
      </c>
    </row>
    <row r="63" spans="2:9" ht="16.2" thickBot="1" x14ac:dyDescent="0.35">
      <c r="B63" s="10" t="s">
        <v>129</v>
      </c>
      <c r="C63" s="11">
        <f t="shared" ref="C63:I63" si="5">C62+C60</f>
        <v>2352</v>
      </c>
      <c r="D63" s="11">
        <f t="shared" si="5"/>
        <v>6697</v>
      </c>
      <c r="E63" s="11">
        <f t="shared" si="5"/>
        <v>2819</v>
      </c>
      <c r="F63" s="11">
        <f t="shared" si="5"/>
        <v>2997</v>
      </c>
      <c r="G63" s="11">
        <f t="shared" si="5"/>
        <v>2852</v>
      </c>
      <c r="H63" s="11">
        <f t="shared" si="5"/>
        <v>7099</v>
      </c>
      <c r="I63" s="11">
        <f t="shared" si="5"/>
        <v>9481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12864-5988-4764-ACEB-E61AC7B7302C}">
  <dimension ref="A2:M23"/>
  <sheetViews>
    <sheetView showGridLines="0" workbookViewId="0"/>
  </sheetViews>
  <sheetFormatPr defaultRowHeight="15.6" x14ac:dyDescent="0.3"/>
  <sheetData>
    <row r="2" spans="1:13" ht="23.4" x14ac:dyDescent="0.45">
      <c r="B2" s="27" t="s">
        <v>287</v>
      </c>
    </row>
    <row r="3" spans="1:13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5" spans="1:13" x14ac:dyDescent="0.3">
      <c r="I5" s="29" t="s">
        <v>132</v>
      </c>
      <c r="J5" s="30"/>
      <c r="K5" s="31"/>
    </row>
    <row r="6" spans="1:13" x14ac:dyDescent="0.3">
      <c r="B6" t="s">
        <v>133</v>
      </c>
      <c r="E6" s="32"/>
      <c r="F6" s="33" t="s">
        <v>136</v>
      </c>
      <c r="G6" s="34"/>
      <c r="I6" s="35" t="s">
        <v>134</v>
      </c>
      <c r="J6" s="36" t="s">
        <v>135</v>
      </c>
      <c r="K6" s="37" t="s">
        <v>136</v>
      </c>
    </row>
    <row r="7" spans="1:13" x14ac:dyDescent="0.3">
      <c r="B7" t="s">
        <v>137</v>
      </c>
      <c r="E7" s="32"/>
      <c r="F7" s="33" t="s">
        <v>142</v>
      </c>
      <c r="G7" s="34"/>
    </row>
    <row r="8" spans="1:13" x14ac:dyDescent="0.3">
      <c r="B8" t="s">
        <v>138</v>
      </c>
      <c r="E8" s="32"/>
      <c r="F8" s="33" t="s">
        <v>143</v>
      </c>
      <c r="G8" s="34"/>
    </row>
    <row r="9" spans="1:13" x14ac:dyDescent="0.3">
      <c r="B9" t="s">
        <v>139</v>
      </c>
      <c r="E9" s="32"/>
      <c r="F9" s="33" t="s">
        <v>144</v>
      </c>
      <c r="G9" s="34"/>
    </row>
    <row r="11" spans="1:13" x14ac:dyDescent="0.3">
      <c r="B11" t="s">
        <v>140</v>
      </c>
      <c r="E11" s="32"/>
      <c r="F11" s="33">
        <v>469.43</v>
      </c>
      <c r="G11" s="34"/>
    </row>
    <row r="12" spans="1:13" x14ac:dyDescent="0.3">
      <c r="B12" t="s">
        <v>141</v>
      </c>
      <c r="E12" s="32"/>
      <c r="F12" s="38">
        <v>276.55</v>
      </c>
      <c r="G12" s="34"/>
    </row>
    <row r="22" spans="1:13" x14ac:dyDescent="0.3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3" x14ac:dyDescent="0.3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</row>
  </sheetData>
  <dataValidations count="1">
    <dataValidation type="list" allowBlank="1" showInputMessage="1" showErrorMessage="1" sqref="G10 F6" xr:uid="{1D67345B-CEEB-41E3-9E3B-7810AEB826FE}">
      <formula1>"Base,Bull,Bear"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AD6BA-E42E-4CE5-85FB-B535F6306FB4}">
  <dimension ref="A1:O125"/>
  <sheetViews>
    <sheetView showGridLines="0" zoomScale="124" workbookViewId="0"/>
  </sheetViews>
  <sheetFormatPr defaultRowHeight="15.6" x14ac:dyDescent="0.3"/>
  <cols>
    <col min="1" max="1" width="2.5546875" customWidth="1"/>
    <col min="2" max="2" width="41.6640625" customWidth="1"/>
    <col min="3" max="15" width="13" customWidth="1"/>
  </cols>
  <sheetData>
    <row r="1" spans="1:15" x14ac:dyDescent="0.3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17.399999999999999" x14ac:dyDescent="0.35">
      <c r="A2" s="41"/>
      <c r="B2" s="119" t="s">
        <v>200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x14ac:dyDescent="0.3">
      <c r="A3" s="41"/>
      <c r="B3" s="120" t="s">
        <v>146</v>
      </c>
      <c r="C3" s="268" t="s">
        <v>201</v>
      </c>
      <c r="D3" s="269" t="str">
        <f>Control!F6</f>
        <v>Bear</v>
      </c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x14ac:dyDescent="0.3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ht="16.2" thickBot="1" x14ac:dyDescent="0.35">
      <c r="A5" s="41"/>
      <c r="B5" s="137" t="s">
        <v>202</v>
      </c>
      <c r="C5" s="138">
        <v>2019</v>
      </c>
      <c r="D5" s="138" t="s">
        <v>237</v>
      </c>
      <c r="E5" s="138" t="s">
        <v>238</v>
      </c>
      <c r="F5" s="138" t="s">
        <v>239</v>
      </c>
      <c r="G5" s="138" t="s">
        <v>240</v>
      </c>
      <c r="H5" s="138" t="s">
        <v>241</v>
      </c>
      <c r="I5" s="139" t="s">
        <v>242</v>
      </c>
      <c r="J5" s="140" t="s">
        <v>203</v>
      </c>
      <c r="K5" s="140" t="s">
        <v>204</v>
      </c>
      <c r="L5" s="140" t="s">
        <v>205</v>
      </c>
      <c r="M5" s="140" t="s">
        <v>206</v>
      </c>
      <c r="N5" s="140" t="s">
        <v>207</v>
      </c>
      <c r="O5" s="140" t="s">
        <v>208</v>
      </c>
    </row>
    <row r="6" spans="1:15" x14ac:dyDescent="0.3">
      <c r="A6" s="41"/>
      <c r="B6" s="41"/>
      <c r="C6" s="41"/>
      <c r="D6" s="41"/>
      <c r="E6" s="41"/>
      <c r="F6" s="41"/>
      <c r="G6" s="41"/>
      <c r="H6" s="41"/>
      <c r="I6" s="131"/>
      <c r="J6" s="41"/>
      <c r="K6" s="41"/>
      <c r="L6" s="41"/>
      <c r="M6" s="41"/>
      <c r="N6" s="41"/>
      <c r="O6" s="41"/>
    </row>
    <row r="7" spans="1:15" x14ac:dyDescent="0.3">
      <c r="A7" s="41"/>
      <c r="B7" s="56" t="s">
        <v>230</v>
      </c>
      <c r="C7" s="121">
        <f>'Income Statement'!C9</f>
        <v>1623</v>
      </c>
      <c r="D7" s="121">
        <f>'Income Statement'!D9</f>
        <v>1635</v>
      </c>
      <c r="E7" s="121">
        <f>'Income Statement'!E9</f>
        <v>1698</v>
      </c>
      <c r="F7" s="121">
        <f>'Income Statement'!F9</f>
        <v>1747</v>
      </c>
      <c r="G7" s="121">
        <f>'Income Statement'!G9</f>
        <v>1970</v>
      </c>
      <c r="H7" s="121">
        <f>'Income Statement'!H9</f>
        <v>13861</v>
      </c>
      <c r="I7" s="132">
        <f>'Income Statement'!I9</f>
        <v>16400</v>
      </c>
      <c r="J7" s="122">
        <f t="shared" ref="J7:O7" si="0">I7*(1+J8)</f>
        <v>17876</v>
      </c>
      <c r="K7" s="122">
        <f t="shared" si="0"/>
        <v>19306.080000000002</v>
      </c>
      <c r="L7" s="122">
        <f t="shared" si="0"/>
        <v>20657.505600000004</v>
      </c>
      <c r="M7" s="122">
        <f t="shared" si="0"/>
        <v>22000.243464000003</v>
      </c>
      <c r="N7" s="122">
        <f t="shared" si="0"/>
        <v>23320.258071840006</v>
      </c>
      <c r="O7" s="122">
        <f t="shared" si="0"/>
        <v>24602.872265791204</v>
      </c>
    </row>
    <row r="8" spans="1:15" x14ac:dyDescent="0.3">
      <c r="A8" s="41"/>
      <c r="B8" s="123" t="s">
        <v>209</v>
      </c>
      <c r="C8" s="41"/>
      <c r="D8" s="124">
        <f t="shared" ref="D8:I8" si="1">D7/C7-1</f>
        <v>7.3937153419594281E-3</v>
      </c>
      <c r="E8" s="124">
        <f t="shared" si="1"/>
        <v>3.8532110091743066E-2</v>
      </c>
      <c r="F8" s="124">
        <f t="shared" si="1"/>
        <v>2.8857479387514706E-2</v>
      </c>
      <c r="G8" s="124">
        <f t="shared" si="1"/>
        <v>0.1276473955352031</v>
      </c>
      <c r="H8" s="124">
        <f t="shared" si="1"/>
        <v>6.0360406091370562</v>
      </c>
      <c r="I8" s="133">
        <f t="shared" si="1"/>
        <v>0.18317581704061747</v>
      </c>
      <c r="J8" s="124">
        <f>CHOOSE(MATCH(Control!$F$6,{"Base","Bull","Bear"},0),J9,J10,J11)</f>
        <v>0.09</v>
      </c>
      <c r="K8" s="124">
        <f>CHOOSE(MATCH(Control!$F$6,{"Base","Bull","Bear"},0),K9,K10,K11)</f>
        <v>0.08</v>
      </c>
      <c r="L8" s="124">
        <f>CHOOSE(MATCH(Control!$F$6,{"Base","Bull","Bear"},0),L9,L10,L11)</f>
        <v>7.0000000000000007E-2</v>
      </c>
      <c r="M8" s="124">
        <f>CHOOSE(MATCH(Control!$F$6,{"Base","Bull","Bear"},0),M9,M10,M11)</f>
        <v>6.5000000000000002E-2</v>
      </c>
      <c r="N8" s="124">
        <f>CHOOSE(MATCH(Control!$F$6,{"Base","Bull","Bear"},0),N9,N10,N11)</f>
        <v>0.06</v>
      </c>
      <c r="O8" s="124">
        <f>CHOOSE(MATCH(Control!$F$6,{"Base","Bull","Bear"},0),O9,O10,O11)</f>
        <v>5.5E-2</v>
      </c>
    </row>
    <row r="9" spans="1:15" x14ac:dyDescent="0.3">
      <c r="A9" s="41"/>
      <c r="B9" s="41" t="s">
        <v>134</v>
      </c>
      <c r="C9" s="41"/>
      <c r="D9" s="41"/>
      <c r="E9" s="41"/>
      <c r="F9" s="41"/>
      <c r="G9" s="41"/>
      <c r="H9" s="41"/>
      <c r="I9" s="131"/>
      <c r="J9" s="125">
        <v>0.12</v>
      </c>
      <c r="K9" s="125">
        <v>0.11</v>
      </c>
      <c r="L9" s="125">
        <v>0.1</v>
      </c>
      <c r="M9" s="125">
        <v>0.1</v>
      </c>
      <c r="N9" s="125">
        <v>0.09</v>
      </c>
      <c r="O9" s="125">
        <v>0.08</v>
      </c>
    </row>
    <row r="10" spans="1:15" x14ac:dyDescent="0.3">
      <c r="A10" s="41"/>
      <c r="B10" s="41" t="s">
        <v>135</v>
      </c>
      <c r="C10" s="41"/>
      <c r="D10" s="41"/>
      <c r="E10" s="41"/>
      <c r="F10" s="41"/>
      <c r="G10" s="41"/>
      <c r="H10" s="41"/>
      <c r="I10" s="131"/>
      <c r="J10" s="125">
        <v>0.15</v>
      </c>
      <c r="K10" s="125">
        <v>0.14000000000000001</v>
      </c>
      <c r="L10" s="125">
        <v>0.14000000000000001</v>
      </c>
      <c r="M10" s="125">
        <v>0.13</v>
      </c>
      <c r="N10" s="125">
        <v>0.12</v>
      </c>
      <c r="O10" s="125">
        <v>0.11</v>
      </c>
    </row>
    <row r="11" spans="1:15" x14ac:dyDescent="0.3">
      <c r="A11" s="41"/>
      <c r="B11" s="41" t="s">
        <v>136</v>
      </c>
      <c r="C11" s="41"/>
      <c r="D11" s="41"/>
      <c r="E11" s="41"/>
      <c r="F11" s="41"/>
      <c r="G11" s="41"/>
      <c r="H11" s="41"/>
      <c r="I11" s="131"/>
      <c r="J11" s="125">
        <v>0.09</v>
      </c>
      <c r="K11" s="125">
        <v>0.08</v>
      </c>
      <c r="L11" s="125">
        <v>7.0000000000000007E-2</v>
      </c>
      <c r="M11" s="125">
        <v>6.5000000000000002E-2</v>
      </c>
      <c r="N11" s="125">
        <v>0.06</v>
      </c>
      <c r="O11" s="125">
        <v>5.5E-2</v>
      </c>
    </row>
    <row r="12" spans="1:15" x14ac:dyDescent="0.3">
      <c r="A12" s="41"/>
      <c r="B12" s="41"/>
      <c r="C12" s="41"/>
      <c r="D12" s="41"/>
      <c r="E12" s="41"/>
      <c r="F12" s="41"/>
      <c r="G12" s="41"/>
      <c r="H12" s="41"/>
      <c r="I12" s="131"/>
      <c r="J12" s="41"/>
      <c r="K12" s="41"/>
      <c r="L12" s="41"/>
      <c r="M12" s="41"/>
      <c r="N12" s="41"/>
      <c r="O12" s="41"/>
    </row>
    <row r="13" spans="1:15" x14ac:dyDescent="0.3">
      <c r="A13" s="41"/>
      <c r="B13" s="56" t="s">
        <v>231</v>
      </c>
      <c r="C13" s="121">
        <f>'Income Statement'!C10</f>
        <v>5161</v>
      </c>
      <c r="D13" s="121">
        <f>'Income Statement'!D10</f>
        <v>6044</v>
      </c>
      <c r="E13" s="121">
        <f>'Income Statement'!E10</f>
        <v>7935</v>
      </c>
      <c r="F13" s="121">
        <f>'Income Statement'!F10</f>
        <v>10979</v>
      </c>
      <c r="G13" s="121">
        <f>'Income Statement'!G10</f>
        <v>12398</v>
      </c>
      <c r="H13" s="121">
        <f>'Income Statement'!H10</f>
        <v>2424</v>
      </c>
      <c r="I13" s="132">
        <f>'Income Statement'!I10</f>
        <v>2431</v>
      </c>
      <c r="J13" s="122">
        <f t="shared" ref="J13:O13" si="2">I13*(1+J14)</f>
        <v>2382.38</v>
      </c>
      <c r="K13" s="122">
        <f t="shared" si="2"/>
        <v>2310.9086000000002</v>
      </c>
      <c r="L13" s="122">
        <f t="shared" si="2"/>
        <v>2241.5813419999999</v>
      </c>
      <c r="M13" s="122">
        <f t="shared" si="2"/>
        <v>2151.9180883199997</v>
      </c>
      <c r="N13" s="122">
        <f t="shared" si="2"/>
        <v>2065.8413647871998</v>
      </c>
      <c r="O13" s="122">
        <f t="shared" si="2"/>
        <v>1962.5492965478397</v>
      </c>
    </row>
    <row r="14" spans="1:15" x14ac:dyDescent="0.3">
      <c r="A14" s="41"/>
      <c r="B14" s="123" t="s">
        <v>209</v>
      </c>
      <c r="C14" s="41"/>
      <c r="D14" s="124">
        <f t="shared" ref="D14:I14" si="3">D13/C13-1</f>
        <v>0.17109087386165478</v>
      </c>
      <c r="E14" s="124">
        <f t="shared" si="3"/>
        <v>0.31287227001985429</v>
      </c>
      <c r="F14" s="124">
        <f t="shared" si="3"/>
        <v>0.38361688720856968</v>
      </c>
      <c r="G14" s="124">
        <f t="shared" si="3"/>
        <v>0.12924674378358691</v>
      </c>
      <c r="H14" s="124">
        <f t="shared" si="3"/>
        <v>-0.80448459428940156</v>
      </c>
      <c r="I14" s="133">
        <f t="shared" si="3"/>
        <v>2.8877887788778533E-3</v>
      </c>
      <c r="J14" s="124">
        <f>CHOOSE(MATCH(Control!$F$6,{"Base","Bull","Bear"},0),J15,J16,J17)</f>
        <v>-0.02</v>
      </c>
      <c r="K14" s="124">
        <f>CHOOSE(MATCH(Control!$F$6,{"Base","Bull","Bear"},0),K15,K16,K17)</f>
        <v>-0.03</v>
      </c>
      <c r="L14" s="124">
        <f>CHOOSE(MATCH(Control!$F$6,{"Base","Bull","Bear"},0),L15,L16,L17)</f>
        <v>-0.03</v>
      </c>
      <c r="M14" s="124">
        <f>CHOOSE(MATCH(Control!$F$6,{"Base","Bull","Bear"},0),M15,M16,M17)</f>
        <v>-0.04</v>
      </c>
      <c r="N14" s="124">
        <f>CHOOSE(MATCH(Control!$F$6,{"Base","Bull","Bear"},0),N15,N16,N17)</f>
        <v>-0.04</v>
      </c>
      <c r="O14" s="124">
        <f>CHOOSE(MATCH(Control!$F$6,{"Base","Bull","Bear"},0),O15,O16,O17)</f>
        <v>-0.05</v>
      </c>
    </row>
    <row r="15" spans="1:15" x14ac:dyDescent="0.3">
      <c r="A15" s="41"/>
      <c r="B15" s="41" t="s">
        <v>134</v>
      </c>
      <c r="C15" s="41"/>
      <c r="D15" s="41"/>
      <c r="E15" s="41"/>
      <c r="F15" s="41"/>
      <c r="G15" s="41"/>
      <c r="H15" s="41"/>
      <c r="I15" s="131"/>
      <c r="J15" s="125">
        <v>0</v>
      </c>
      <c r="K15" s="125">
        <v>-0.01</v>
      </c>
      <c r="L15" s="125">
        <v>-0.01</v>
      </c>
      <c r="M15" s="125">
        <v>-0.02</v>
      </c>
      <c r="N15" s="125">
        <v>-0.02</v>
      </c>
      <c r="O15" s="125">
        <v>-0.03</v>
      </c>
    </row>
    <row r="16" spans="1:15" x14ac:dyDescent="0.3">
      <c r="A16" s="41"/>
      <c r="B16" s="41" t="s">
        <v>135</v>
      </c>
      <c r="C16" s="41"/>
      <c r="D16" s="41"/>
      <c r="E16" s="41"/>
      <c r="F16" s="41"/>
      <c r="G16" s="41"/>
      <c r="H16" s="41"/>
      <c r="I16" s="131"/>
      <c r="J16" s="125">
        <v>0.03</v>
      </c>
      <c r="K16" s="125">
        <v>0.02</v>
      </c>
      <c r="L16" s="125">
        <v>0.02</v>
      </c>
      <c r="M16" s="125">
        <v>0.01</v>
      </c>
      <c r="N16" s="125">
        <v>0.01</v>
      </c>
      <c r="O16" s="125">
        <v>0</v>
      </c>
    </row>
    <row r="17" spans="1:15" x14ac:dyDescent="0.3">
      <c r="A17" s="41"/>
      <c r="B17" s="41" t="s">
        <v>136</v>
      </c>
      <c r="C17" s="41"/>
      <c r="D17" s="41"/>
      <c r="E17" s="41"/>
      <c r="F17" s="41"/>
      <c r="G17" s="41"/>
      <c r="H17" s="41"/>
      <c r="I17" s="131"/>
      <c r="J17" s="125">
        <v>-0.02</v>
      </c>
      <c r="K17" s="125">
        <v>-0.03</v>
      </c>
      <c r="L17" s="125">
        <v>-0.03</v>
      </c>
      <c r="M17" s="125">
        <v>-0.04</v>
      </c>
      <c r="N17" s="125">
        <v>-0.04</v>
      </c>
      <c r="O17" s="125">
        <v>-0.05</v>
      </c>
    </row>
    <row r="18" spans="1:15" x14ac:dyDescent="0.3">
      <c r="A18" s="41"/>
      <c r="B18" s="41"/>
      <c r="C18" s="41"/>
      <c r="D18" s="41"/>
      <c r="E18" s="41"/>
      <c r="F18" s="41"/>
      <c r="G18" s="41"/>
      <c r="H18" s="41"/>
      <c r="I18" s="131"/>
      <c r="J18" s="41"/>
      <c r="K18" s="41"/>
      <c r="L18" s="41"/>
      <c r="M18" s="41"/>
      <c r="N18" s="41"/>
      <c r="O18" s="41"/>
    </row>
    <row r="19" spans="1:15" ht="16.2" thickBot="1" x14ac:dyDescent="0.35">
      <c r="A19" s="41"/>
      <c r="B19" s="130" t="s">
        <v>4</v>
      </c>
      <c r="C19" s="134">
        <f>'Income Statement'!C11</f>
        <v>6784</v>
      </c>
      <c r="D19" s="134">
        <f>'Income Statement'!D11</f>
        <v>7679</v>
      </c>
      <c r="E19" s="134">
        <f>'Income Statement'!E11</f>
        <v>9633</v>
      </c>
      <c r="F19" s="134">
        <f>'Income Statement'!F11</f>
        <v>12726</v>
      </c>
      <c r="G19" s="134">
        <f>'Income Statement'!G11</f>
        <v>14368</v>
      </c>
      <c r="H19" s="134">
        <f>'Income Statement'!H11</f>
        <v>16285</v>
      </c>
      <c r="I19" s="135">
        <f>'Income Statement'!I11</f>
        <v>18831</v>
      </c>
      <c r="J19" s="136">
        <f t="shared" ref="J19:O19" si="4">J7+J13</f>
        <v>20258.38</v>
      </c>
      <c r="K19" s="136">
        <f t="shared" si="4"/>
        <v>21616.988600000001</v>
      </c>
      <c r="L19" s="136">
        <f t="shared" si="4"/>
        <v>22899.086942000005</v>
      </c>
      <c r="M19" s="136">
        <f t="shared" si="4"/>
        <v>24152.161552320002</v>
      </c>
      <c r="N19" s="136">
        <f t="shared" si="4"/>
        <v>25386.099436627206</v>
      </c>
      <c r="O19" s="136">
        <f t="shared" si="4"/>
        <v>26565.421562339045</v>
      </c>
    </row>
    <row r="20" spans="1:15" x14ac:dyDescent="0.3">
      <c r="A20" s="41"/>
      <c r="B20" s="123" t="s">
        <v>209</v>
      </c>
      <c r="C20" s="41"/>
      <c r="D20" s="124">
        <f t="shared" ref="D20:O20" si="5">D19/C19-1</f>
        <v>0.13192806603773577</v>
      </c>
      <c r="E20" s="124">
        <f t="shared" si="5"/>
        <v>0.25446021617398107</v>
      </c>
      <c r="F20" s="124">
        <f t="shared" si="5"/>
        <v>0.32108377452507009</v>
      </c>
      <c r="G20" s="124">
        <f t="shared" si="5"/>
        <v>0.1290271884331291</v>
      </c>
      <c r="H20" s="124">
        <f t="shared" si="5"/>
        <v>0.13342149220489974</v>
      </c>
      <c r="I20" s="133">
        <f t="shared" si="5"/>
        <v>0.15634019035922631</v>
      </c>
      <c r="J20" s="124">
        <f t="shared" si="5"/>
        <v>7.5799479581541096E-2</v>
      </c>
      <c r="K20" s="124">
        <f t="shared" si="5"/>
        <v>6.706402979902637E-2</v>
      </c>
      <c r="L20" s="124">
        <f t="shared" si="5"/>
        <v>5.9309757049138767E-2</v>
      </c>
      <c r="M20" s="124">
        <f t="shared" si="5"/>
        <v>5.4721597131529576E-2</v>
      </c>
      <c r="N20" s="124">
        <f t="shared" si="5"/>
        <v>5.1090163571246627E-2</v>
      </c>
      <c r="O20" s="124">
        <f t="shared" si="5"/>
        <v>4.6455428438537671E-2</v>
      </c>
    </row>
    <row r="21" spans="1:15" x14ac:dyDescent="0.3">
      <c r="A21" s="41"/>
      <c r="I21" s="131"/>
    </row>
    <row r="22" spans="1:15" x14ac:dyDescent="0.3">
      <c r="A22" s="41"/>
      <c r="B22" s="41"/>
      <c r="C22" s="41"/>
      <c r="D22" s="41"/>
      <c r="E22" s="41"/>
      <c r="F22" s="41"/>
      <c r="G22" s="41"/>
      <c r="H22" s="41"/>
      <c r="I22" s="131"/>
      <c r="J22" s="41"/>
      <c r="K22" s="41"/>
      <c r="L22" s="41"/>
      <c r="M22" s="41"/>
      <c r="N22" s="41"/>
      <c r="O22" s="41"/>
    </row>
    <row r="23" spans="1:15" x14ac:dyDescent="0.3">
      <c r="A23" s="41"/>
      <c r="B23" s="141" t="s">
        <v>210</v>
      </c>
      <c r="C23" s="141"/>
      <c r="D23" s="141"/>
      <c r="E23" s="141"/>
      <c r="F23" s="141"/>
      <c r="G23" s="141"/>
      <c r="H23" s="141"/>
      <c r="I23" s="142"/>
      <c r="J23" s="141"/>
      <c r="K23" s="141"/>
      <c r="L23" s="141"/>
      <c r="M23" s="141"/>
      <c r="N23" s="141"/>
      <c r="O23" s="141"/>
    </row>
    <row r="24" spans="1:15" x14ac:dyDescent="0.3">
      <c r="A24" s="41"/>
      <c r="B24" s="56" t="s">
        <v>5</v>
      </c>
      <c r="C24" s="121">
        <f>'Income Statement'!C12</f>
        <v>1147</v>
      </c>
      <c r="D24" s="121">
        <f>'Income Statement'!D12</f>
        <v>1356</v>
      </c>
      <c r="E24" s="121">
        <f>'Income Statement'!E12</f>
        <v>1633</v>
      </c>
      <c r="F24" s="121">
        <f>'Income Statement'!F12</f>
        <v>2266</v>
      </c>
      <c r="G24" s="121">
        <f>'Income Statement'!G12</f>
        <v>2980</v>
      </c>
      <c r="H24" s="121">
        <f>'Income Statement'!H12</f>
        <v>3319</v>
      </c>
      <c r="I24" s="132">
        <f>'Income Statement'!I12</f>
        <v>3692</v>
      </c>
      <c r="J24" s="122">
        <f t="shared" ref="J24:O24" si="6">J25*J19</f>
        <v>4011.1592400000004</v>
      </c>
      <c r="K24" s="122">
        <f t="shared" si="6"/>
        <v>4323.3977199999999</v>
      </c>
      <c r="L24" s="122">
        <f t="shared" si="6"/>
        <v>4579.8173884000016</v>
      </c>
      <c r="M24" s="122">
        <f t="shared" si="6"/>
        <v>4878.7366335686411</v>
      </c>
      <c r="N24" s="122">
        <f t="shared" si="6"/>
        <v>5127.9920861986957</v>
      </c>
      <c r="O24" s="122">
        <f t="shared" si="6"/>
        <v>5445.9114202795035</v>
      </c>
    </row>
    <row r="25" spans="1:15" x14ac:dyDescent="0.3">
      <c r="A25" s="41"/>
      <c r="B25" s="123" t="s">
        <v>211</v>
      </c>
      <c r="C25" s="124">
        <f t="shared" ref="C25:I25" si="7">C24/C19</f>
        <v>0.16907429245283018</v>
      </c>
      <c r="D25" s="124">
        <f t="shared" si="7"/>
        <v>0.17658549290272171</v>
      </c>
      <c r="E25" s="124">
        <f t="shared" si="7"/>
        <v>0.16952143672791445</v>
      </c>
      <c r="F25" s="124">
        <f t="shared" si="7"/>
        <v>0.17806066320917807</v>
      </c>
      <c r="G25" s="124">
        <f t="shared" si="7"/>
        <v>0.2074053452115813</v>
      </c>
      <c r="H25" s="124">
        <f t="shared" si="7"/>
        <v>0.20380718452563709</v>
      </c>
      <c r="I25" s="133">
        <f t="shared" si="7"/>
        <v>0.19605968881100314</v>
      </c>
      <c r="J25" s="124">
        <f>CHOOSE(MATCH(Control!$F$6,{"Base","Bull","Bear"},0),J26,J27,J28)</f>
        <v>0.19800000000000001</v>
      </c>
      <c r="K25" s="124">
        <f>CHOOSE(MATCH(Control!$F$6,{"Base","Bull","Bear"},0),K26,K27,K28)</f>
        <v>0.2</v>
      </c>
      <c r="L25" s="124">
        <f>CHOOSE(MATCH(Control!$F$6,{"Base","Bull","Bear"},0),L26,L27,L28)</f>
        <v>0.2</v>
      </c>
      <c r="M25" s="124">
        <f>CHOOSE(MATCH(Control!$F$6,{"Base","Bull","Bear"},0),M26,M27,M28)</f>
        <v>0.20200000000000001</v>
      </c>
      <c r="N25" s="124">
        <f>CHOOSE(MATCH(Control!$F$6,{"Base","Bull","Bear"},0),N26,N27,N28)</f>
        <v>0.20200000000000001</v>
      </c>
      <c r="O25" s="124">
        <f>CHOOSE(MATCH(Control!$F$6,{"Base","Bull","Bear"},0),O26,O27,O28)</f>
        <v>0.20499999999999999</v>
      </c>
    </row>
    <row r="26" spans="1:15" x14ac:dyDescent="0.3">
      <c r="A26" s="41"/>
      <c r="B26" s="41" t="s">
        <v>134</v>
      </c>
      <c r="C26" s="41"/>
      <c r="D26" s="41"/>
      <c r="E26" s="41"/>
      <c r="F26" s="41"/>
      <c r="G26" s="41"/>
      <c r="H26" s="41"/>
      <c r="I26" s="131"/>
      <c r="J26" s="125">
        <v>0.19500000000000001</v>
      </c>
      <c r="K26" s="125">
        <v>0.192</v>
      </c>
      <c r="L26" s="125">
        <v>0.19</v>
      </c>
      <c r="M26" s="125">
        <v>0.188</v>
      </c>
      <c r="N26" s="125">
        <v>0.185</v>
      </c>
      <c r="O26" s="125">
        <v>0.183</v>
      </c>
    </row>
    <row r="27" spans="1:15" x14ac:dyDescent="0.3">
      <c r="A27" s="41"/>
      <c r="B27" s="41" t="s">
        <v>135</v>
      </c>
      <c r="C27" s="41"/>
      <c r="D27" s="41"/>
      <c r="E27" s="41"/>
      <c r="F27" s="41"/>
      <c r="G27" s="41"/>
      <c r="H27" s="41"/>
      <c r="I27" s="131"/>
      <c r="J27" s="125">
        <v>0.19</v>
      </c>
      <c r="K27" s="125">
        <v>0.185</v>
      </c>
      <c r="L27" s="125">
        <v>0.18</v>
      </c>
      <c r="M27" s="125">
        <v>0.17799999999999999</v>
      </c>
      <c r="N27" s="125">
        <v>0.17499999999999999</v>
      </c>
      <c r="O27" s="125">
        <v>0.17199999999999999</v>
      </c>
    </row>
    <row r="28" spans="1:15" x14ac:dyDescent="0.3">
      <c r="A28" s="41"/>
      <c r="B28" s="41" t="s">
        <v>136</v>
      </c>
      <c r="C28" s="41"/>
      <c r="D28" s="41"/>
      <c r="E28" s="41"/>
      <c r="F28" s="41"/>
      <c r="G28" s="41"/>
      <c r="H28" s="41"/>
      <c r="I28" s="131"/>
      <c r="J28" s="125">
        <v>0.19800000000000001</v>
      </c>
      <c r="K28" s="125">
        <v>0.2</v>
      </c>
      <c r="L28" s="125">
        <v>0.2</v>
      </c>
      <c r="M28" s="125">
        <v>0.20200000000000001</v>
      </c>
      <c r="N28" s="125">
        <v>0.20200000000000001</v>
      </c>
      <c r="O28" s="125">
        <v>0.20499999999999999</v>
      </c>
    </row>
    <row r="29" spans="1:15" x14ac:dyDescent="0.3">
      <c r="A29" s="41"/>
      <c r="B29" s="41"/>
      <c r="C29" s="41"/>
      <c r="D29" s="41"/>
      <c r="E29" s="41"/>
      <c r="F29" s="41"/>
      <c r="G29" s="41"/>
      <c r="H29" s="41"/>
      <c r="I29" s="131"/>
      <c r="J29" s="41"/>
      <c r="K29" s="41"/>
      <c r="L29" s="41"/>
      <c r="M29" s="41"/>
      <c r="N29" s="41"/>
      <c r="O29" s="41"/>
    </row>
    <row r="30" spans="1:15" x14ac:dyDescent="0.3">
      <c r="A30" s="41"/>
      <c r="B30" s="56" t="s">
        <v>212</v>
      </c>
      <c r="C30" s="121">
        <f>'Income Statement'!C16</f>
        <v>1927</v>
      </c>
      <c r="D30" s="121">
        <f>'Income Statement'!D16</f>
        <v>2048</v>
      </c>
      <c r="E30" s="121">
        <f>'Income Statement'!E16</f>
        <v>2644</v>
      </c>
      <c r="F30" s="121">
        <f>'Income Statement'!F16</f>
        <v>3526</v>
      </c>
      <c r="G30" s="121">
        <f>'Income Statement'!G16</f>
        <v>3762</v>
      </c>
      <c r="H30" s="121">
        <f>'Income Statement'!H16</f>
        <v>4312</v>
      </c>
      <c r="I30" s="132">
        <f>'Income Statement'!I16</f>
        <v>5035</v>
      </c>
      <c r="J30" s="122">
        <f t="shared" ref="J30:O30" si="8">J31*J19</f>
        <v>5429.2458400000005</v>
      </c>
      <c r="K30" s="122">
        <f t="shared" si="8"/>
        <v>5793.3529448000008</v>
      </c>
      <c r="L30" s="122">
        <f t="shared" si="8"/>
        <v>6182.753474340002</v>
      </c>
      <c r="M30" s="122">
        <f t="shared" si="8"/>
        <v>6521.0836191264007</v>
      </c>
      <c r="N30" s="122">
        <f t="shared" si="8"/>
        <v>6854.2468478893461</v>
      </c>
      <c r="O30" s="122">
        <f t="shared" si="8"/>
        <v>7225.7946649562209</v>
      </c>
    </row>
    <row r="31" spans="1:15" x14ac:dyDescent="0.3">
      <c r="A31" s="41"/>
      <c r="B31" s="123" t="s">
        <v>211</v>
      </c>
      <c r="C31" s="124">
        <f t="shared" ref="C31:I31" si="9">C30/C19</f>
        <v>0.28405070754716982</v>
      </c>
      <c r="D31" s="124">
        <f t="shared" si="9"/>
        <v>0.26670139341060034</v>
      </c>
      <c r="E31" s="124">
        <f t="shared" si="9"/>
        <v>0.27447316516142428</v>
      </c>
      <c r="F31" s="124">
        <f t="shared" si="9"/>
        <v>0.27707056419927706</v>
      </c>
      <c r="G31" s="124">
        <f t="shared" si="9"/>
        <v>0.26183184855233854</v>
      </c>
      <c r="H31" s="124">
        <f t="shared" si="9"/>
        <v>0.2647835431378569</v>
      </c>
      <c r="I31" s="133">
        <f t="shared" si="9"/>
        <v>0.26737825925335884</v>
      </c>
      <c r="J31" s="124">
        <f>CHOOSE(MATCH(Control!$F$6,{"Base","Bull","Bear"},0),J32,J33,J34)</f>
        <v>0.26800000000000002</v>
      </c>
      <c r="K31" s="124">
        <f>CHOOSE(MATCH(Control!$F$6,{"Base","Bull","Bear"},0),K32,K33,K34)</f>
        <v>0.26800000000000002</v>
      </c>
      <c r="L31" s="124">
        <f>CHOOSE(MATCH(Control!$F$6,{"Base","Bull","Bear"},0),L32,L33,L34)</f>
        <v>0.27</v>
      </c>
      <c r="M31" s="124">
        <f>CHOOSE(MATCH(Control!$F$6,{"Base","Bull","Bear"},0),M32,M33,M34)</f>
        <v>0.27</v>
      </c>
      <c r="N31" s="124">
        <f>CHOOSE(MATCH(Control!$F$6,{"Base","Bull","Bear"},0),N32,N33,N34)</f>
        <v>0.27</v>
      </c>
      <c r="O31" s="124">
        <f>CHOOSE(MATCH(Control!$F$6,{"Base","Bull","Bear"},0),O32,O33,O34)</f>
        <v>0.27200000000000002</v>
      </c>
    </row>
    <row r="32" spans="1:15" x14ac:dyDescent="0.3">
      <c r="A32" s="41"/>
      <c r="B32" s="41" t="s">
        <v>134</v>
      </c>
      <c r="C32" s="41"/>
      <c r="D32" s="41"/>
      <c r="E32" s="41"/>
      <c r="F32" s="41"/>
      <c r="G32" s="41"/>
      <c r="H32" s="41"/>
      <c r="I32" s="131"/>
      <c r="J32" s="125">
        <v>0.26500000000000001</v>
      </c>
      <c r="K32" s="125">
        <v>0.26</v>
      </c>
      <c r="L32" s="125">
        <v>0.255</v>
      </c>
      <c r="M32" s="125">
        <v>0.252</v>
      </c>
      <c r="N32" s="125">
        <v>0.25</v>
      </c>
      <c r="O32" s="125">
        <v>0.248</v>
      </c>
    </row>
    <row r="33" spans="1:15" x14ac:dyDescent="0.3">
      <c r="A33" s="41"/>
      <c r="B33" s="41" t="s">
        <v>135</v>
      </c>
      <c r="C33" s="41"/>
      <c r="D33" s="41"/>
      <c r="E33" s="41"/>
      <c r="F33" s="41"/>
      <c r="G33" s="41"/>
      <c r="H33" s="41"/>
      <c r="I33" s="131"/>
      <c r="J33" s="125">
        <v>0.26</v>
      </c>
      <c r="K33" s="125">
        <v>0.252</v>
      </c>
      <c r="L33" s="125">
        <v>0.245</v>
      </c>
      <c r="M33" s="125">
        <v>0.24</v>
      </c>
      <c r="N33" s="125">
        <v>0.23799999999999999</v>
      </c>
      <c r="O33" s="125">
        <v>0.23499999999999999</v>
      </c>
    </row>
    <row r="34" spans="1:15" x14ac:dyDescent="0.3">
      <c r="A34" s="41"/>
      <c r="B34" s="41" t="s">
        <v>136</v>
      </c>
      <c r="C34" s="41"/>
      <c r="D34" s="41"/>
      <c r="E34" s="41"/>
      <c r="F34" s="41"/>
      <c r="G34" s="41"/>
      <c r="H34" s="41"/>
      <c r="I34" s="131"/>
      <c r="J34" s="125">
        <v>0.26800000000000002</v>
      </c>
      <c r="K34" s="125">
        <v>0.26800000000000002</v>
      </c>
      <c r="L34" s="125">
        <v>0.27</v>
      </c>
      <c r="M34" s="125">
        <v>0.27</v>
      </c>
      <c r="N34" s="125">
        <v>0.27</v>
      </c>
      <c r="O34" s="125">
        <v>0.27200000000000002</v>
      </c>
    </row>
    <row r="35" spans="1:15" x14ac:dyDescent="0.3">
      <c r="A35" s="41"/>
      <c r="B35" s="41"/>
      <c r="C35" s="41"/>
      <c r="D35" s="41"/>
      <c r="E35" s="41"/>
      <c r="F35" s="41"/>
      <c r="G35" s="41"/>
      <c r="H35" s="41"/>
      <c r="I35" s="131"/>
      <c r="J35" s="41"/>
      <c r="K35" s="41"/>
      <c r="L35" s="41"/>
      <c r="M35" s="41"/>
      <c r="N35" s="41"/>
      <c r="O35" s="41"/>
    </row>
    <row r="36" spans="1:15" x14ac:dyDescent="0.3">
      <c r="A36" s="41"/>
      <c r="B36" s="56" t="s">
        <v>213</v>
      </c>
      <c r="C36" s="121">
        <f>'Income Statement'!C17</f>
        <v>1233</v>
      </c>
      <c r="D36" s="121">
        <f>'Income Statement'!D17</f>
        <v>1392</v>
      </c>
      <c r="E36" s="121">
        <f>'Income Statement'!E17</f>
        <v>1678</v>
      </c>
      <c r="F36" s="121">
        <f>'Income Statement'!F17</f>
        <v>2347</v>
      </c>
      <c r="G36" s="121">
        <f>'Income Statement'!G17</f>
        <v>2539</v>
      </c>
      <c r="H36" s="121">
        <f>'Income Statement'!H17</f>
        <v>2754</v>
      </c>
      <c r="I36" s="132">
        <f>'Income Statement'!I17</f>
        <v>2928</v>
      </c>
      <c r="J36" s="122">
        <f t="shared" ref="J36:O36" si="10">J37*J19</f>
        <v>3200.82404</v>
      </c>
      <c r="K36" s="122">
        <f t="shared" si="10"/>
        <v>3415.4841988000003</v>
      </c>
      <c r="L36" s="122">
        <f t="shared" si="10"/>
        <v>3663.8539107200008</v>
      </c>
      <c r="M36" s="122">
        <f t="shared" si="10"/>
        <v>3864.3458483712002</v>
      </c>
      <c r="N36" s="122">
        <f t="shared" si="10"/>
        <v>4061.7759098603533</v>
      </c>
      <c r="O36" s="122">
        <f t="shared" si="10"/>
        <v>4303.5982930989258</v>
      </c>
    </row>
    <row r="37" spans="1:15" x14ac:dyDescent="0.3">
      <c r="A37" s="41"/>
      <c r="B37" s="123" t="s">
        <v>211</v>
      </c>
      <c r="C37" s="124">
        <f t="shared" ref="C37:I37" si="11">C36/C19</f>
        <v>0.18175117924528303</v>
      </c>
      <c r="D37" s="124">
        <f t="shared" si="11"/>
        <v>0.18127360333376741</v>
      </c>
      <c r="E37" s="124">
        <f t="shared" si="11"/>
        <v>0.17419287864631994</v>
      </c>
      <c r="F37" s="124">
        <f t="shared" si="11"/>
        <v>0.18442558541568443</v>
      </c>
      <c r="G37" s="124">
        <f t="shared" si="11"/>
        <v>0.17671213808463251</v>
      </c>
      <c r="H37" s="124">
        <f t="shared" si="11"/>
        <v>0.16911268038071844</v>
      </c>
      <c r="I37" s="133">
        <f t="shared" si="11"/>
        <v>0.1554882905846742</v>
      </c>
      <c r="J37" s="124">
        <f>CHOOSE(MATCH(Control!$F$6,{"Base","Bull","Bear"},0),J38,J39,J40)</f>
        <v>0.158</v>
      </c>
      <c r="K37" s="124">
        <f>CHOOSE(MATCH(Control!$F$6,{"Base","Bull","Bear"},0),K38,K39,K40)</f>
        <v>0.158</v>
      </c>
      <c r="L37" s="124">
        <f>CHOOSE(MATCH(Control!$F$6,{"Base","Bull","Bear"},0),L38,L39,L40)</f>
        <v>0.16</v>
      </c>
      <c r="M37" s="124">
        <f>CHOOSE(MATCH(Control!$F$6,{"Base","Bull","Bear"},0),M38,M39,M40)</f>
        <v>0.16</v>
      </c>
      <c r="N37" s="124">
        <f>CHOOSE(MATCH(Control!$F$6,{"Base","Bull","Bear"},0),N38,N39,N40)</f>
        <v>0.16</v>
      </c>
      <c r="O37" s="124">
        <f>CHOOSE(MATCH(Control!$F$6,{"Base","Bull","Bear"},0),O38,O39,O40)</f>
        <v>0.16200000000000001</v>
      </c>
    </row>
    <row r="38" spans="1:15" x14ac:dyDescent="0.3">
      <c r="A38" s="41"/>
      <c r="B38" s="41" t="s">
        <v>134</v>
      </c>
      <c r="C38" s="41"/>
      <c r="D38" s="41"/>
      <c r="E38" s="41"/>
      <c r="F38" s="41"/>
      <c r="G38" s="41"/>
      <c r="H38" s="41"/>
      <c r="I38" s="131"/>
      <c r="J38" s="125">
        <v>0.155</v>
      </c>
      <c r="K38" s="125">
        <v>0.152</v>
      </c>
      <c r="L38" s="125">
        <v>0.15</v>
      </c>
      <c r="M38" s="125">
        <v>0.14799999999999999</v>
      </c>
      <c r="N38" s="125">
        <v>0.14599999999999999</v>
      </c>
      <c r="O38" s="125">
        <v>0.14499999999999999</v>
      </c>
    </row>
    <row r="39" spans="1:15" x14ac:dyDescent="0.3">
      <c r="A39" s="41"/>
      <c r="B39" s="41" t="s">
        <v>135</v>
      </c>
      <c r="C39" s="41"/>
      <c r="D39" s="41"/>
      <c r="E39" s="41"/>
      <c r="F39" s="41"/>
      <c r="G39" s="41"/>
      <c r="H39" s="41"/>
      <c r="I39" s="131"/>
      <c r="J39" s="125">
        <v>0.15</v>
      </c>
      <c r="K39" s="125">
        <v>0.14699999999999999</v>
      </c>
      <c r="L39" s="125">
        <v>0.14399999999999999</v>
      </c>
      <c r="M39" s="125">
        <v>0.14199999999999999</v>
      </c>
      <c r="N39" s="125">
        <v>0.14000000000000001</v>
      </c>
      <c r="O39" s="125">
        <v>0.13800000000000001</v>
      </c>
    </row>
    <row r="40" spans="1:15" x14ac:dyDescent="0.3">
      <c r="A40" s="41"/>
      <c r="B40" s="41" t="s">
        <v>136</v>
      </c>
      <c r="C40" s="41"/>
      <c r="D40" s="41"/>
      <c r="E40" s="41"/>
      <c r="F40" s="41"/>
      <c r="G40" s="41"/>
      <c r="H40" s="41"/>
      <c r="I40" s="131"/>
      <c r="J40" s="125">
        <v>0.158</v>
      </c>
      <c r="K40" s="125">
        <v>0.158</v>
      </c>
      <c r="L40" s="125">
        <v>0.16</v>
      </c>
      <c r="M40" s="125">
        <v>0.16</v>
      </c>
      <c r="N40" s="125">
        <v>0.16</v>
      </c>
      <c r="O40" s="125">
        <v>0.16200000000000001</v>
      </c>
    </row>
    <row r="41" spans="1:15" x14ac:dyDescent="0.3">
      <c r="A41" s="41"/>
      <c r="B41" s="41"/>
      <c r="C41" s="41"/>
      <c r="D41" s="41"/>
      <c r="E41" s="41"/>
      <c r="F41" s="41"/>
      <c r="G41" s="41"/>
      <c r="H41" s="41"/>
      <c r="I41" s="131"/>
      <c r="J41" s="41"/>
      <c r="K41" s="41"/>
      <c r="L41" s="41"/>
      <c r="M41" s="41"/>
      <c r="N41" s="41"/>
      <c r="O41" s="41"/>
    </row>
    <row r="42" spans="1:15" x14ac:dyDescent="0.3">
      <c r="A42" s="41"/>
      <c r="B42" s="56" t="s">
        <v>214</v>
      </c>
      <c r="C42" s="121">
        <f>'Income Statement'!C18</f>
        <v>597</v>
      </c>
      <c r="D42" s="121">
        <f>'Income Statement'!D18</f>
        <v>679</v>
      </c>
      <c r="E42" s="121">
        <f>'Income Statement'!E18</f>
        <v>982</v>
      </c>
      <c r="F42" s="121">
        <f>'Income Statement'!F18</f>
        <v>1460</v>
      </c>
      <c r="G42" s="121">
        <f>'Income Statement'!G18</f>
        <v>1300</v>
      </c>
      <c r="H42" s="121">
        <f>'Income Statement'!H18</f>
        <v>1418</v>
      </c>
      <c r="I42" s="132">
        <f>'Income Statement'!I18</f>
        <v>1601</v>
      </c>
      <c r="J42" s="122">
        <f t="shared" ref="J42:O42" si="12">J43*J19</f>
        <v>1762.4790599999999</v>
      </c>
      <c r="K42" s="122">
        <f t="shared" si="12"/>
        <v>1880.6780082</v>
      </c>
      <c r="L42" s="122">
        <f t="shared" si="12"/>
        <v>2015.1196508960004</v>
      </c>
      <c r="M42" s="122">
        <f t="shared" si="12"/>
        <v>2125.3902166041598</v>
      </c>
      <c r="N42" s="122">
        <f t="shared" si="12"/>
        <v>2233.9767504231941</v>
      </c>
      <c r="O42" s="122">
        <f t="shared" si="12"/>
        <v>2390.8879406105139</v>
      </c>
    </row>
    <row r="43" spans="1:15" x14ac:dyDescent="0.3">
      <c r="A43" s="41"/>
      <c r="B43" s="123" t="s">
        <v>211</v>
      </c>
      <c r="C43" s="124">
        <f t="shared" ref="C43:I43" si="13">C42/C19</f>
        <v>8.8001179245283015E-2</v>
      </c>
      <c r="D43" s="124">
        <f t="shared" si="13"/>
        <v>8.8422971741112119E-2</v>
      </c>
      <c r="E43" s="124">
        <f t="shared" si="13"/>
        <v>0.1019412436416485</v>
      </c>
      <c r="F43" s="124">
        <f t="shared" si="13"/>
        <v>0.11472575829011472</v>
      </c>
      <c r="G43" s="124">
        <f t="shared" si="13"/>
        <v>9.0478841870824056E-2</v>
      </c>
      <c r="H43" s="124">
        <f t="shared" si="13"/>
        <v>8.7073994473441815E-2</v>
      </c>
      <c r="I43" s="133">
        <f t="shared" si="13"/>
        <v>8.5019382932398704E-2</v>
      </c>
      <c r="J43" s="124">
        <f>CHOOSE(MATCH(Control!$F$6,{"Base","Bull","Bear"},0),J44,J45,J46)</f>
        <v>8.6999999999999994E-2</v>
      </c>
      <c r="K43" s="124">
        <f>CHOOSE(MATCH(Control!$F$6,{"Base","Bull","Bear"},0),K44,K45,K46)</f>
        <v>8.6999999999999994E-2</v>
      </c>
      <c r="L43" s="124">
        <f>CHOOSE(MATCH(Control!$F$6,{"Base","Bull","Bear"},0),L44,L45,L46)</f>
        <v>8.7999999999999995E-2</v>
      </c>
      <c r="M43" s="124">
        <f>CHOOSE(MATCH(Control!$F$6,{"Base","Bull","Bear"},0),M44,M45,M46)</f>
        <v>8.7999999999999995E-2</v>
      </c>
      <c r="N43" s="124">
        <f>CHOOSE(MATCH(Control!$F$6,{"Base","Bull","Bear"},0),N44,N45,N46)</f>
        <v>8.7999999999999995E-2</v>
      </c>
      <c r="O43" s="124">
        <f>CHOOSE(MATCH(Control!$F$6,{"Base","Bull","Bear"},0),O44,O45,O46)</f>
        <v>0.09</v>
      </c>
    </row>
    <row r="44" spans="1:15" x14ac:dyDescent="0.3">
      <c r="A44" s="41"/>
      <c r="B44" s="41" t="s">
        <v>134</v>
      </c>
      <c r="C44" s="41"/>
      <c r="D44" s="41"/>
      <c r="E44" s="41"/>
      <c r="F44" s="41"/>
      <c r="G44" s="41"/>
      <c r="H44" s="41"/>
      <c r="I44" s="131"/>
      <c r="J44" s="125">
        <v>8.5000000000000006E-2</v>
      </c>
      <c r="K44" s="125">
        <v>8.3000000000000004E-2</v>
      </c>
      <c r="L44" s="125">
        <v>8.2000000000000003E-2</v>
      </c>
      <c r="M44" s="125">
        <v>8.1000000000000003E-2</v>
      </c>
      <c r="N44" s="125">
        <v>0.08</v>
      </c>
      <c r="O44" s="125">
        <v>0.08</v>
      </c>
    </row>
    <row r="45" spans="1:15" x14ac:dyDescent="0.3">
      <c r="A45" s="41"/>
      <c r="B45" s="41" t="s">
        <v>135</v>
      </c>
      <c r="C45" s="41"/>
      <c r="D45" s="41"/>
      <c r="E45" s="41"/>
      <c r="F45" s="41"/>
      <c r="G45" s="41"/>
      <c r="H45" s="41"/>
      <c r="I45" s="131"/>
      <c r="J45" s="125">
        <v>8.2000000000000003E-2</v>
      </c>
      <c r="K45" s="125">
        <v>7.9000000000000001E-2</v>
      </c>
      <c r="L45" s="125">
        <v>7.6999999999999999E-2</v>
      </c>
      <c r="M45" s="125">
        <v>7.5999999999999998E-2</v>
      </c>
      <c r="N45" s="125">
        <v>7.4999999999999997E-2</v>
      </c>
      <c r="O45" s="125">
        <v>7.3999999999999996E-2</v>
      </c>
    </row>
    <row r="46" spans="1:15" x14ac:dyDescent="0.3">
      <c r="A46" s="41"/>
      <c r="B46" s="41" t="s">
        <v>136</v>
      </c>
      <c r="C46" s="41"/>
      <c r="D46" s="41"/>
      <c r="E46" s="41"/>
      <c r="F46" s="41"/>
      <c r="G46" s="41"/>
      <c r="H46" s="41"/>
      <c r="I46" s="131"/>
      <c r="J46" s="125">
        <v>8.6999999999999994E-2</v>
      </c>
      <c r="K46" s="125">
        <v>8.6999999999999994E-2</v>
      </c>
      <c r="L46" s="125">
        <v>8.7999999999999995E-2</v>
      </c>
      <c r="M46" s="125">
        <v>8.7999999999999995E-2</v>
      </c>
      <c r="N46" s="125">
        <v>8.7999999999999995E-2</v>
      </c>
      <c r="O46" s="125">
        <v>0.09</v>
      </c>
    </row>
    <row r="47" spans="1:15" x14ac:dyDescent="0.3">
      <c r="A47" s="41"/>
      <c r="B47" s="41"/>
      <c r="C47" s="41"/>
      <c r="D47" s="41"/>
      <c r="E47" s="41"/>
      <c r="F47" s="41"/>
      <c r="G47" s="41"/>
      <c r="H47" s="41"/>
      <c r="I47" s="131"/>
      <c r="J47" s="41"/>
      <c r="K47" s="41"/>
      <c r="L47" s="41"/>
      <c r="M47" s="41"/>
      <c r="N47" s="41"/>
      <c r="O47" s="41"/>
    </row>
    <row r="48" spans="1:15" x14ac:dyDescent="0.3">
      <c r="A48" s="41"/>
      <c r="B48" s="56" t="s">
        <v>215</v>
      </c>
      <c r="C48" s="121">
        <f>'Cash Flow'!C11+'Cash Flow'!C12</f>
        <v>225</v>
      </c>
      <c r="D48" s="121">
        <f>'Cash Flow'!D11+'Cash Flow'!D12</f>
        <v>218</v>
      </c>
      <c r="E48" s="121">
        <f>'Cash Flow'!E11+'Cash Flow'!E12</f>
        <v>363</v>
      </c>
      <c r="F48" s="121">
        <f>'Cash Flow'!F11+'Cash Flow'!F12</f>
        <v>746</v>
      </c>
      <c r="G48" s="121">
        <f>'Cash Flow'!G11+'Cash Flow'!G12</f>
        <v>806</v>
      </c>
      <c r="H48" s="121">
        <f>'Cash Flow'!H11+'Cash Flow'!H12</f>
        <v>789</v>
      </c>
      <c r="I48" s="132">
        <f>'Cash Flow'!I11+'Cash Flow'!I12</f>
        <v>809</v>
      </c>
      <c r="J48" s="122">
        <f t="shared" ref="J48:O48" si="14">J49*J19</f>
        <v>850.85196000000008</v>
      </c>
      <c r="K48" s="122">
        <f t="shared" si="14"/>
        <v>907.9135212000001</v>
      </c>
      <c r="L48" s="122">
        <f t="shared" si="14"/>
        <v>961.76165156400032</v>
      </c>
      <c r="M48" s="122">
        <f t="shared" si="14"/>
        <v>1038.5429467497599</v>
      </c>
      <c r="N48" s="122">
        <f t="shared" si="14"/>
        <v>1091.6022757749697</v>
      </c>
      <c r="O48" s="122">
        <f t="shared" si="14"/>
        <v>1142.3131271805789</v>
      </c>
    </row>
    <row r="49" spans="1:15" x14ac:dyDescent="0.3">
      <c r="A49" s="41"/>
      <c r="B49" s="123" t="s">
        <v>211</v>
      </c>
      <c r="C49" s="124">
        <f t="shared" ref="C49:I49" si="15">C48/C19</f>
        <v>3.3166273584905662E-2</v>
      </c>
      <c r="D49" s="124">
        <f t="shared" si="15"/>
        <v>2.8389113165776792E-2</v>
      </c>
      <c r="E49" s="124">
        <f t="shared" si="15"/>
        <v>3.768296480847088E-2</v>
      </c>
      <c r="F49" s="124">
        <f t="shared" si="15"/>
        <v>5.8620147729058623E-2</v>
      </c>
      <c r="G49" s="124">
        <f t="shared" si="15"/>
        <v>5.6096881959910916E-2</v>
      </c>
      <c r="H49" s="124">
        <f t="shared" si="15"/>
        <v>4.8449493398833282E-2</v>
      </c>
      <c r="I49" s="133">
        <f t="shared" si="15"/>
        <v>4.2961074823429451E-2</v>
      </c>
      <c r="J49" s="124">
        <f>CHOOSE(MATCH(Control!$F$6,{"Base","Bull","Bear"},0),J50,J51,J52)</f>
        <v>4.2000000000000003E-2</v>
      </c>
      <c r="K49" s="124">
        <f>CHOOSE(MATCH(Control!$F$6,{"Base","Bull","Bear"},0),K50,K51,K52)</f>
        <v>4.2000000000000003E-2</v>
      </c>
      <c r="L49" s="124">
        <f>CHOOSE(MATCH(Control!$F$6,{"Base","Bull","Bear"},0),L50,L51,L52)</f>
        <v>4.2000000000000003E-2</v>
      </c>
      <c r="M49" s="124">
        <f>CHOOSE(MATCH(Control!$F$6,{"Base","Bull","Bear"},0),M50,M51,M52)</f>
        <v>4.2999999999999997E-2</v>
      </c>
      <c r="N49" s="124">
        <f>CHOOSE(MATCH(Control!$F$6,{"Base","Bull","Bear"},0),N50,N51,N52)</f>
        <v>4.2999999999999997E-2</v>
      </c>
      <c r="O49" s="124">
        <f>CHOOSE(MATCH(Control!$F$6,{"Base","Bull","Bear"},0),O50,O51,O52)</f>
        <v>4.2999999999999997E-2</v>
      </c>
    </row>
    <row r="50" spans="1:15" x14ac:dyDescent="0.3">
      <c r="A50" s="41"/>
      <c r="B50" s="41" t="s">
        <v>134</v>
      </c>
      <c r="C50" s="41"/>
      <c r="D50" s="41"/>
      <c r="E50" s="41"/>
      <c r="F50" s="41"/>
      <c r="G50" s="41"/>
      <c r="H50" s="41"/>
      <c r="I50" s="131"/>
      <c r="J50" s="125">
        <v>0.04</v>
      </c>
      <c r="K50" s="125">
        <v>3.7999999999999999E-2</v>
      </c>
      <c r="L50" s="125">
        <v>3.6999999999999998E-2</v>
      </c>
      <c r="M50" s="125">
        <v>3.5999999999999997E-2</v>
      </c>
      <c r="N50" s="125">
        <v>3.5000000000000003E-2</v>
      </c>
      <c r="O50" s="125">
        <v>3.5000000000000003E-2</v>
      </c>
    </row>
    <row r="51" spans="1:15" x14ac:dyDescent="0.3">
      <c r="A51" s="41"/>
      <c r="B51" s="41" t="s">
        <v>135</v>
      </c>
      <c r="C51" s="41"/>
      <c r="D51" s="41"/>
      <c r="E51" s="41"/>
      <c r="F51" s="41"/>
      <c r="G51" s="41"/>
      <c r="H51" s="41"/>
      <c r="I51" s="131"/>
      <c r="J51" s="125">
        <v>3.7999999999999999E-2</v>
      </c>
      <c r="K51" s="125">
        <v>3.5000000000000003E-2</v>
      </c>
      <c r="L51" s="125">
        <v>3.3000000000000002E-2</v>
      </c>
      <c r="M51" s="125">
        <v>3.2000000000000001E-2</v>
      </c>
      <c r="N51" s="125">
        <v>3.1E-2</v>
      </c>
      <c r="O51" s="125">
        <v>0.03</v>
      </c>
    </row>
    <row r="52" spans="1:15" x14ac:dyDescent="0.3">
      <c r="A52" s="41"/>
      <c r="B52" s="41" t="s">
        <v>136</v>
      </c>
      <c r="C52" s="41"/>
      <c r="D52" s="41"/>
      <c r="E52" s="41"/>
      <c r="F52" s="41"/>
      <c r="G52" s="41"/>
      <c r="H52" s="41"/>
      <c r="I52" s="131"/>
      <c r="J52" s="125">
        <v>4.2000000000000003E-2</v>
      </c>
      <c r="K52" s="125">
        <v>4.2000000000000003E-2</v>
      </c>
      <c r="L52" s="125">
        <v>4.2000000000000003E-2</v>
      </c>
      <c r="M52" s="125">
        <v>4.2999999999999997E-2</v>
      </c>
      <c r="N52" s="125">
        <v>4.2999999999999997E-2</v>
      </c>
      <c r="O52" s="125">
        <v>4.2999999999999997E-2</v>
      </c>
    </row>
    <row r="53" spans="1:15" x14ac:dyDescent="0.3">
      <c r="A53" s="41"/>
      <c r="B53" s="41"/>
      <c r="C53" s="41"/>
      <c r="D53" s="41"/>
      <c r="E53" s="41"/>
      <c r="F53" s="41"/>
      <c r="G53" s="41"/>
      <c r="H53" s="41"/>
      <c r="I53" s="131"/>
      <c r="J53" s="41"/>
      <c r="K53" s="41"/>
      <c r="L53" s="41"/>
      <c r="M53" s="41"/>
      <c r="N53" s="41"/>
      <c r="O53" s="41"/>
    </row>
    <row r="54" spans="1:15" x14ac:dyDescent="0.3">
      <c r="A54" s="41"/>
      <c r="B54" s="141" t="s">
        <v>216</v>
      </c>
      <c r="C54" s="141"/>
      <c r="D54" s="141"/>
      <c r="E54" s="141"/>
      <c r="F54" s="141"/>
      <c r="G54" s="141"/>
      <c r="H54" s="141"/>
      <c r="I54" s="142"/>
      <c r="J54" s="141"/>
      <c r="K54" s="141"/>
      <c r="L54" s="141"/>
      <c r="M54" s="141"/>
      <c r="N54" s="141"/>
      <c r="O54" s="141"/>
    </row>
    <row r="55" spans="1:15" x14ac:dyDescent="0.3">
      <c r="A55" s="41"/>
      <c r="B55" s="56" t="s">
        <v>217</v>
      </c>
      <c r="C55" s="121">
        <f>'Cash Flow'!C14</f>
        <v>401</v>
      </c>
      <c r="D55" s="121">
        <f>'Cash Flow'!D14</f>
        <v>435</v>
      </c>
      <c r="E55" s="121">
        <f>'Cash Flow'!E14</f>
        <v>753</v>
      </c>
      <c r="F55" s="121">
        <f>'Cash Flow'!F14</f>
        <v>1308</v>
      </c>
      <c r="G55" s="121">
        <f>'Cash Flow'!G14</f>
        <v>1712</v>
      </c>
      <c r="H55" s="121">
        <f>'Cash Flow'!H14</f>
        <v>1940</v>
      </c>
      <c r="I55" s="132">
        <f>'Cash Flow'!I14</f>
        <v>1968</v>
      </c>
      <c r="J55" s="122">
        <f t="shared" ref="J55:O55" si="16">J56*J19</f>
        <v>2086.6131399999999</v>
      </c>
      <c r="K55" s="122">
        <f t="shared" si="16"/>
        <v>2226.5498257999998</v>
      </c>
      <c r="L55" s="122">
        <f t="shared" si="16"/>
        <v>2404.4041289100005</v>
      </c>
      <c r="M55" s="122">
        <f t="shared" si="16"/>
        <v>2535.9769629936</v>
      </c>
      <c r="N55" s="122">
        <f t="shared" si="16"/>
        <v>2716.3126397191108</v>
      </c>
      <c r="O55" s="122">
        <f t="shared" si="16"/>
        <v>2842.5001071702777</v>
      </c>
    </row>
    <row r="56" spans="1:15" x14ac:dyDescent="0.3">
      <c r="A56" s="41"/>
      <c r="B56" s="123" t="s">
        <v>211</v>
      </c>
      <c r="C56" s="124">
        <f t="shared" ref="C56:I56" si="17">C55/C19</f>
        <v>5.9109669811320757E-2</v>
      </c>
      <c r="D56" s="124">
        <f t="shared" si="17"/>
        <v>5.6648001041802315E-2</v>
      </c>
      <c r="E56" s="124">
        <f t="shared" si="17"/>
        <v>7.816879476798505E-2</v>
      </c>
      <c r="F56" s="124">
        <f t="shared" si="17"/>
        <v>0.10278170674210278</v>
      </c>
      <c r="G56" s="124">
        <f t="shared" si="17"/>
        <v>0.11915367483296214</v>
      </c>
      <c r="H56" s="124">
        <f t="shared" si="17"/>
        <v>0.11912803193122505</v>
      </c>
      <c r="I56" s="133">
        <f t="shared" si="17"/>
        <v>0.10450852317986299</v>
      </c>
      <c r="J56" s="124">
        <f>CHOOSE(MATCH(Control!$F$6,{"Base","Bull","Bear"},0),J57,J58,J59)</f>
        <v>0.10299999999999999</v>
      </c>
      <c r="K56" s="124">
        <f>CHOOSE(MATCH(Control!$F$6,{"Base","Bull","Bear"},0),K57,K58,K59)</f>
        <v>0.10299999999999999</v>
      </c>
      <c r="L56" s="124">
        <f>CHOOSE(MATCH(Control!$F$6,{"Base","Bull","Bear"},0),L57,L58,L59)</f>
        <v>0.105</v>
      </c>
      <c r="M56" s="124">
        <f>CHOOSE(MATCH(Control!$F$6,{"Base","Bull","Bear"},0),M57,M58,M59)</f>
        <v>0.105</v>
      </c>
      <c r="N56" s="124">
        <f>CHOOSE(MATCH(Control!$F$6,{"Base","Bull","Bear"},0),N57,N58,N59)</f>
        <v>0.107</v>
      </c>
      <c r="O56" s="124">
        <f>CHOOSE(MATCH(Control!$F$6,{"Base","Bull","Bear"},0),O57,O58,O59)</f>
        <v>0.107</v>
      </c>
    </row>
    <row r="57" spans="1:15" x14ac:dyDescent="0.3">
      <c r="A57" s="41"/>
      <c r="B57" s="41" t="s">
        <v>134</v>
      </c>
      <c r="C57" s="41"/>
      <c r="D57" s="41"/>
      <c r="E57" s="41"/>
      <c r="F57" s="41"/>
      <c r="G57" s="41"/>
      <c r="H57" s="41"/>
      <c r="I57" s="131"/>
      <c r="J57" s="125">
        <v>0.1</v>
      </c>
      <c r="K57" s="125">
        <v>9.7000000000000003E-2</v>
      </c>
      <c r="L57" s="125">
        <v>9.5000000000000001E-2</v>
      </c>
      <c r="M57" s="125">
        <v>9.2999999999999999E-2</v>
      </c>
      <c r="N57" s="125">
        <v>0.09</v>
      </c>
      <c r="O57" s="125">
        <v>8.7999999999999995E-2</v>
      </c>
    </row>
    <row r="58" spans="1:15" x14ac:dyDescent="0.3">
      <c r="A58" s="41"/>
      <c r="B58" s="41" t="s">
        <v>135</v>
      </c>
      <c r="C58" s="41"/>
      <c r="D58" s="41"/>
      <c r="E58" s="41"/>
      <c r="F58" s="41"/>
      <c r="G58" s="41"/>
      <c r="H58" s="41"/>
      <c r="I58" s="131"/>
      <c r="J58" s="125">
        <v>9.5000000000000001E-2</v>
      </c>
      <c r="K58" s="125">
        <v>9.1999999999999998E-2</v>
      </c>
      <c r="L58" s="125">
        <v>0.09</v>
      </c>
      <c r="M58" s="125">
        <v>8.7999999999999995E-2</v>
      </c>
      <c r="N58" s="125">
        <v>8.5000000000000006E-2</v>
      </c>
      <c r="O58" s="125">
        <v>8.3000000000000004E-2</v>
      </c>
    </row>
    <row r="59" spans="1:15" x14ac:dyDescent="0.3">
      <c r="A59" s="41"/>
      <c r="B59" s="41" t="s">
        <v>136</v>
      </c>
      <c r="C59" s="41"/>
      <c r="D59" s="41"/>
      <c r="E59" s="41"/>
      <c r="F59" s="41"/>
      <c r="G59" s="41"/>
      <c r="H59" s="41"/>
      <c r="I59" s="131"/>
      <c r="J59" s="125">
        <v>0.10299999999999999</v>
      </c>
      <c r="K59" s="125">
        <v>0.10299999999999999</v>
      </c>
      <c r="L59" s="125">
        <v>0.105</v>
      </c>
      <c r="M59" s="125">
        <v>0.105</v>
      </c>
      <c r="N59" s="125">
        <v>0.107</v>
      </c>
      <c r="O59" s="125">
        <v>0.107</v>
      </c>
    </row>
    <row r="60" spans="1:15" x14ac:dyDescent="0.3">
      <c r="A60" s="41"/>
      <c r="B60" s="41"/>
      <c r="C60" s="41"/>
      <c r="D60" s="41"/>
      <c r="E60" s="41"/>
      <c r="F60" s="41"/>
      <c r="G60" s="41"/>
      <c r="H60" s="41"/>
      <c r="I60" s="131"/>
      <c r="J60" s="41"/>
      <c r="K60" s="41"/>
      <c r="L60" s="41"/>
      <c r="M60" s="41"/>
      <c r="N60" s="41"/>
      <c r="O60" s="41"/>
    </row>
    <row r="61" spans="1:15" x14ac:dyDescent="0.3">
      <c r="A61" s="41"/>
      <c r="B61" s="56" t="s">
        <v>218</v>
      </c>
      <c r="C61" s="121">
        <f>'Cash Flow'!C35+'Cash Flow'!C36</f>
        <v>-155</v>
      </c>
      <c r="D61" s="121">
        <f>'Cash Flow'!D35+'Cash Flow'!D36</f>
        <v>-137</v>
      </c>
      <c r="E61" s="121">
        <f>'Cash Flow'!E35+'Cash Flow'!E36</f>
        <v>-125</v>
      </c>
      <c r="F61" s="121">
        <f>'Cash Flow'!F35+'Cash Flow'!F36</f>
        <v>-229</v>
      </c>
      <c r="G61" s="121">
        <f>'Cash Flow'!G35+'Cash Flow'!G36</f>
        <v>-260</v>
      </c>
      <c r="H61" s="121">
        <f>'Cash Flow'!H35+'Cash Flow'!H36</f>
        <v>-250</v>
      </c>
      <c r="I61" s="132">
        <f>'Cash Flow'!I35+'Cash Flow'!I36</f>
        <v>-124</v>
      </c>
      <c r="J61" s="122">
        <f t="shared" ref="J61:O61" si="18">-J62*J19</f>
        <v>-222.84217999999998</v>
      </c>
      <c r="K61" s="122">
        <f t="shared" si="18"/>
        <v>-237.7868746</v>
      </c>
      <c r="L61" s="122">
        <f t="shared" si="18"/>
        <v>-274.78904330400007</v>
      </c>
      <c r="M61" s="122">
        <f t="shared" si="18"/>
        <v>-289.82593862784</v>
      </c>
      <c r="N61" s="122">
        <f t="shared" si="18"/>
        <v>-330.01929267615367</v>
      </c>
      <c r="O61" s="122">
        <f t="shared" si="18"/>
        <v>-345.35048031040759</v>
      </c>
    </row>
    <row r="62" spans="1:15" x14ac:dyDescent="0.3">
      <c r="A62" s="41"/>
      <c r="B62" s="123" t="s">
        <v>211</v>
      </c>
      <c r="C62" s="124">
        <f t="shared" ref="C62:I62" si="19">-C61/C19</f>
        <v>2.2847877358490566E-2</v>
      </c>
      <c r="D62" s="124">
        <f t="shared" si="19"/>
        <v>1.7840864695923948E-2</v>
      </c>
      <c r="E62" s="124">
        <f t="shared" si="19"/>
        <v>1.2976227551126337E-2</v>
      </c>
      <c r="F62" s="124">
        <f t="shared" si="19"/>
        <v>1.7994656608517994E-2</v>
      </c>
      <c r="G62" s="124">
        <f t="shared" si="19"/>
        <v>1.8095768374164812E-2</v>
      </c>
      <c r="H62" s="124">
        <f t="shared" si="19"/>
        <v>1.5351550506601168E-2</v>
      </c>
      <c r="I62" s="133">
        <f t="shared" si="19"/>
        <v>6.5848866231214484E-3</v>
      </c>
      <c r="J62" s="124">
        <f>CHOOSE(MATCH(Control!$F$6,{"Base","Bull","Bear"},0),J63,J64,J65)</f>
        <v>1.0999999999999999E-2</v>
      </c>
      <c r="K62" s="124">
        <f>CHOOSE(MATCH(Control!$F$6,{"Base","Bull","Bear"},0),K63,K64,K65)</f>
        <v>1.0999999999999999E-2</v>
      </c>
      <c r="L62" s="124">
        <f>CHOOSE(MATCH(Control!$F$6,{"Base","Bull","Bear"},0),L63,L64,L65)</f>
        <v>1.2E-2</v>
      </c>
      <c r="M62" s="124">
        <f>CHOOSE(MATCH(Control!$F$6,{"Base","Bull","Bear"},0),M63,M64,M65)</f>
        <v>1.2E-2</v>
      </c>
      <c r="N62" s="124">
        <f>CHOOSE(MATCH(Control!$F$6,{"Base","Bull","Bear"},0),N63,N64,N65)</f>
        <v>1.2999999999999999E-2</v>
      </c>
      <c r="O62" s="124">
        <f>CHOOSE(MATCH(Control!$F$6,{"Base","Bull","Bear"},0),O63,O64,O65)</f>
        <v>1.2999999999999999E-2</v>
      </c>
    </row>
    <row r="63" spans="1:15" x14ac:dyDescent="0.3">
      <c r="A63" s="41"/>
      <c r="B63" s="41" t="s">
        <v>134</v>
      </c>
      <c r="C63" s="41"/>
      <c r="D63" s="41"/>
      <c r="E63" s="41"/>
      <c r="F63" s="41"/>
      <c r="G63" s="41"/>
      <c r="H63" s="41"/>
      <c r="I63" s="131"/>
      <c r="J63" s="125">
        <v>0.01</v>
      </c>
      <c r="K63" s="125">
        <v>0.01</v>
      </c>
      <c r="L63" s="125">
        <v>1.0999999999999999E-2</v>
      </c>
      <c r="M63" s="125">
        <v>1.0999999999999999E-2</v>
      </c>
      <c r="N63" s="125">
        <v>1.2E-2</v>
      </c>
      <c r="O63" s="125">
        <v>1.2E-2</v>
      </c>
    </row>
    <row r="64" spans="1:15" x14ac:dyDescent="0.3">
      <c r="A64" s="41"/>
      <c r="B64" s="41" t="s">
        <v>135</v>
      </c>
      <c r="C64" s="41"/>
      <c r="D64" s="41"/>
      <c r="E64" s="41"/>
      <c r="F64" s="41"/>
      <c r="G64" s="41"/>
      <c r="H64" s="41"/>
      <c r="I64" s="131"/>
      <c r="J64" s="125">
        <v>8.0000000000000002E-3</v>
      </c>
      <c r="K64" s="125">
        <v>8.0000000000000002E-3</v>
      </c>
      <c r="L64" s="125">
        <v>8.9999999999999993E-3</v>
      </c>
      <c r="M64" s="125">
        <v>8.9999999999999993E-3</v>
      </c>
      <c r="N64" s="125">
        <v>0.01</v>
      </c>
      <c r="O64" s="125">
        <v>0.01</v>
      </c>
    </row>
    <row r="65" spans="1:15" x14ac:dyDescent="0.3">
      <c r="A65" s="41"/>
      <c r="B65" s="41" t="s">
        <v>136</v>
      </c>
      <c r="C65" s="41"/>
      <c r="D65" s="41"/>
      <c r="E65" s="41"/>
      <c r="F65" s="41"/>
      <c r="G65" s="41"/>
      <c r="H65" s="41"/>
      <c r="I65" s="131"/>
      <c r="J65" s="125">
        <v>1.0999999999999999E-2</v>
      </c>
      <c r="K65" s="125">
        <v>1.0999999999999999E-2</v>
      </c>
      <c r="L65" s="125">
        <v>1.2E-2</v>
      </c>
      <c r="M65" s="125">
        <v>1.2E-2</v>
      </c>
      <c r="N65" s="125">
        <v>1.2999999999999999E-2</v>
      </c>
      <c r="O65" s="125">
        <v>1.2999999999999999E-2</v>
      </c>
    </row>
    <row r="66" spans="1:15" x14ac:dyDescent="0.3">
      <c r="A66" s="41"/>
      <c r="B66" s="41"/>
      <c r="C66" s="41"/>
      <c r="D66" s="41"/>
      <c r="E66" s="41"/>
      <c r="F66" s="41"/>
      <c r="G66" s="41"/>
      <c r="H66" s="41"/>
      <c r="I66" s="131"/>
      <c r="J66" s="41"/>
      <c r="K66" s="41"/>
      <c r="L66" s="41"/>
      <c r="M66" s="41"/>
      <c r="N66" s="41"/>
      <c r="O66" s="41"/>
    </row>
    <row r="67" spans="1:15" x14ac:dyDescent="0.3">
      <c r="A67" s="41"/>
      <c r="B67" s="141" t="s">
        <v>219</v>
      </c>
      <c r="C67" s="141"/>
      <c r="D67" s="141"/>
      <c r="E67" s="141"/>
      <c r="F67" s="141"/>
      <c r="G67" s="141"/>
      <c r="H67" s="141"/>
      <c r="I67" s="142"/>
      <c r="J67" s="141"/>
      <c r="K67" s="141"/>
      <c r="L67" s="141"/>
      <c r="M67" s="141"/>
      <c r="N67" s="141"/>
      <c r="O67" s="141"/>
    </row>
    <row r="68" spans="1:15" x14ac:dyDescent="0.3">
      <c r="A68" s="41"/>
      <c r="B68" s="56" t="s">
        <v>220</v>
      </c>
      <c r="C68" s="121">
        <f>'Income Statement'!C26</f>
        <v>-15</v>
      </c>
      <c r="D68" s="121">
        <f>'Income Statement'!D26</f>
        <v>-14</v>
      </c>
      <c r="E68" s="121">
        <f>'Income Statement'!E26</f>
        <v>-29</v>
      </c>
      <c r="F68" s="121">
        <f>'Income Statement'!F26</f>
        <v>-81</v>
      </c>
      <c r="G68" s="121">
        <f>'Income Statement'!G26</f>
        <v>-248</v>
      </c>
      <c r="H68" s="121">
        <f>'Income Statement'!H26</f>
        <v>-242</v>
      </c>
      <c r="I68" s="132">
        <f>'Income Statement'!I26</f>
        <v>-247</v>
      </c>
      <c r="J68" s="122">
        <f>CHOOSE(MATCH(Control!$F$6,{"Base","Bull","Bear"},0),J70,J71,J72)</f>
        <v>-250</v>
      </c>
      <c r="K68" s="122">
        <f>CHOOSE(MATCH(Control!$F$6,{"Base","Bull","Bear"},0),K70,K71,K72)</f>
        <v>-252</v>
      </c>
      <c r="L68" s="122">
        <f>CHOOSE(MATCH(Control!$F$6,{"Base","Bull","Bear"},0),L70,L71,L72)</f>
        <v>-255</v>
      </c>
      <c r="M68" s="122">
        <f>CHOOSE(MATCH(Control!$F$6,{"Base","Bull","Bear"},0),M70,M71,M72)</f>
        <v>-258</v>
      </c>
      <c r="N68" s="122">
        <f>CHOOSE(MATCH(Control!$F$6,{"Base","Bull","Bear"},0),N70,N71,N72)</f>
        <v>-260</v>
      </c>
      <c r="O68" s="122">
        <f>CHOOSE(MATCH(Control!$F$6,{"Base","Bull","Bear"},0),O70,O71,O72)</f>
        <v>-265</v>
      </c>
    </row>
    <row r="69" spans="1:15" x14ac:dyDescent="0.3">
      <c r="A69" s="41"/>
      <c r="B69" s="123" t="s">
        <v>209</v>
      </c>
      <c r="C69" s="41"/>
      <c r="D69" s="124">
        <f t="shared" ref="D69:I69" si="20">D68/C68-1</f>
        <v>-6.6666666666666652E-2</v>
      </c>
      <c r="E69" s="124">
        <f t="shared" si="20"/>
        <v>1.0714285714285716</v>
      </c>
      <c r="F69" s="124">
        <f t="shared" si="20"/>
        <v>1.7931034482758621</v>
      </c>
      <c r="G69" s="124">
        <f t="shared" si="20"/>
        <v>2.0617283950617282</v>
      </c>
      <c r="H69" s="124">
        <f t="shared" si="20"/>
        <v>-2.4193548387096753E-2</v>
      </c>
      <c r="I69" s="133">
        <f t="shared" si="20"/>
        <v>2.0661157024793431E-2</v>
      </c>
      <c r="J69" s="124">
        <f t="shared" ref="J69" si="21">J68/I68-1</f>
        <v>1.2145748987854255E-2</v>
      </c>
      <c r="K69" s="124">
        <f t="shared" ref="K69" si="22">K68/J68-1</f>
        <v>8.0000000000000071E-3</v>
      </c>
      <c r="L69" s="124">
        <f t="shared" ref="L69" si="23">L68/K68-1</f>
        <v>1.1904761904761862E-2</v>
      </c>
      <c r="M69" s="124">
        <f t="shared" ref="M69" si="24">M68/L68-1</f>
        <v>1.1764705882352899E-2</v>
      </c>
      <c r="N69" s="124">
        <f t="shared" ref="N69" si="25">N68/M68-1</f>
        <v>7.7519379844961378E-3</v>
      </c>
      <c r="O69" s="124">
        <f t="shared" ref="O69" si="26">O68/N68-1</f>
        <v>1.9230769230769162E-2</v>
      </c>
    </row>
    <row r="70" spans="1:15" x14ac:dyDescent="0.3">
      <c r="A70" s="41"/>
      <c r="B70" s="41" t="s">
        <v>134</v>
      </c>
      <c r="C70" s="41"/>
      <c r="D70" s="41"/>
      <c r="E70" s="41"/>
      <c r="F70" s="41"/>
      <c r="G70" s="41"/>
      <c r="H70" s="41"/>
      <c r="I70" s="131"/>
      <c r="J70" s="126">
        <v>-250</v>
      </c>
      <c r="K70" s="126">
        <v>-250</v>
      </c>
      <c r="L70" s="126">
        <v>-245</v>
      </c>
      <c r="M70" s="126">
        <v>-240</v>
      </c>
      <c r="N70" s="126">
        <v>-235</v>
      </c>
      <c r="O70" s="126">
        <v>-230</v>
      </c>
    </row>
    <row r="71" spans="1:15" x14ac:dyDescent="0.3">
      <c r="A71" s="41"/>
      <c r="B71" s="41" t="s">
        <v>135</v>
      </c>
      <c r="C71" s="41"/>
      <c r="D71" s="41"/>
      <c r="E71" s="41"/>
      <c r="F71" s="41"/>
      <c r="G71" s="41"/>
      <c r="H71" s="41"/>
      <c r="I71" s="131"/>
      <c r="J71" s="126">
        <v>-235</v>
      </c>
      <c r="K71" s="126">
        <v>-225</v>
      </c>
      <c r="L71" s="126">
        <v>-215</v>
      </c>
      <c r="M71" s="126">
        <v>-205</v>
      </c>
      <c r="N71" s="126">
        <v>-195</v>
      </c>
      <c r="O71" s="126">
        <v>-185</v>
      </c>
    </row>
    <row r="72" spans="1:15" x14ac:dyDescent="0.3">
      <c r="A72" s="41"/>
      <c r="B72" s="41" t="s">
        <v>136</v>
      </c>
      <c r="C72" s="41"/>
      <c r="D72" s="41"/>
      <c r="E72" s="41"/>
      <c r="F72" s="41"/>
      <c r="G72" s="41"/>
      <c r="H72" s="41"/>
      <c r="I72" s="131"/>
      <c r="J72" s="126">
        <v>-250</v>
      </c>
      <c r="K72" s="126">
        <v>-252</v>
      </c>
      <c r="L72" s="126">
        <v>-255</v>
      </c>
      <c r="M72" s="126">
        <v>-258</v>
      </c>
      <c r="N72" s="126">
        <v>-260</v>
      </c>
      <c r="O72" s="126">
        <v>-265</v>
      </c>
    </row>
    <row r="73" spans="1:15" x14ac:dyDescent="0.3">
      <c r="A73" s="41"/>
      <c r="B73" s="41"/>
      <c r="C73" s="41"/>
      <c r="D73" s="41"/>
      <c r="E73" s="41"/>
      <c r="F73" s="41"/>
      <c r="G73" s="41"/>
      <c r="H73" s="41"/>
      <c r="I73" s="131"/>
      <c r="J73" s="41"/>
      <c r="K73" s="41"/>
      <c r="L73" s="41"/>
      <c r="M73" s="41"/>
      <c r="N73" s="41"/>
      <c r="O73" s="41"/>
    </row>
    <row r="74" spans="1:15" x14ac:dyDescent="0.3">
      <c r="A74" s="41"/>
      <c r="B74" s="141" t="s">
        <v>221</v>
      </c>
      <c r="C74" s="141"/>
      <c r="D74" s="141"/>
      <c r="E74" s="141"/>
      <c r="F74" s="141"/>
      <c r="G74" s="141"/>
      <c r="H74" s="141"/>
      <c r="I74" s="142"/>
      <c r="J74" s="141"/>
      <c r="K74" s="141"/>
      <c r="L74" s="141"/>
      <c r="M74" s="141"/>
      <c r="N74" s="141"/>
      <c r="O74" s="141"/>
    </row>
    <row r="75" spans="1:15" x14ac:dyDescent="0.3">
      <c r="A75" s="41"/>
      <c r="B75" s="56" t="s">
        <v>151</v>
      </c>
      <c r="C75" s="41"/>
      <c r="D75" s="41"/>
      <c r="E75" s="41"/>
      <c r="F75" s="41"/>
      <c r="G75" s="41"/>
      <c r="H75" s="41"/>
      <c r="I75" s="131"/>
      <c r="J75" s="127"/>
      <c r="K75" s="127"/>
      <c r="L75" s="127"/>
      <c r="M75" s="127"/>
      <c r="N75" s="127"/>
      <c r="O75" s="127"/>
    </row>
    <row r="76" spans="1:15" x14ac:dyDescent="0.3">
      <c r="A76" s="41"/>
      <c r="B76" s="123" t="s">
        <v>222</v>
      </c>
      <c r="C76" s="124">
        <f>'Income Statement'!C31/'Income Statement'!C30</f>
        <v>0.17224880382775121</v>
      </c>
      <c r="D76" s="124">
        <f>'Income Statement'!D31/'Income Statement'!D30</f>
        <v>0.16924476797088261</v>
      </c>
      <c r="E76" s="124">
        <f>'Income Statement'!E31/'Income Statement'!E30</f>
        <v>0.19327073552425664</v>
      </c>
      <c r="F76" s="124">
        <f>'Income Statement'!F31/'Income Statement'!F30</f>
        <v>0.18725413060582219</v>
      </c>
      <c r="G76" s="124">
        <f>'Income Statement'!G31/'Income Statement'!G30</f>
        <v>0.20240883238541318</v>
      </c>
      <c r="H76" s="124">
        <f>'Income Statement'!H31/'Income Statement'!H30</f>
        <v>0.16535211267605635</v>
      </c>
      <c r="I76" s="133">
        <f>'Income Statement'!I31/'Income Statement'!I30</f>
        <v>0.19962763756723212</v>
      </c>
      <c r="J76" s="127">
        <f>CHOOSE(MATCH(Control!$F$6,{"Base","Bull","Bear"},0),J77,J78,J79)</f>
        <v>0.193</v>
      </c>
      <c r="K76" s="127">
        <f>CHOOSE(MATCH(Control!$F$6,{"Base","Bull","Bear"},0),K77,K78,K79)</f>
        <v>0.193</v>
      </c>
      <c r="L76" s="127">
        <f>CHOOSE(MATCH(Control!$F$6,{"Base","Bull","Bear"},0),L77,L78,L79)</f>
        <v>0.193</v>
      </c>
      <c r="M76" s="127">
        <f>CHOOSE(MATCH(Control!$F$6,{"Base","Bull","Bear"},0),M77,M78,M79)</f>
        <v>0.193</v>
      </c>
      <c r="N76" s="127">
        <f>CHOOSE(MATCH(Control!$F$6,{"Base","Bull","Bear"},0),N77,N78,N79)</f>
        <v>0.193</v>
      </c>
      <c r="O76" s="127">
        <f>CHOOSE(MATCH(Control!$F$6,{"Base","Bull","Bear"},0),O77,O78,O79)</f>
        <v>0.193</v>
      </c>
    </row>
    <row r="77" spans="1:15" x14ac:dyDescent="0.3">
      <c r="A77" s="41"/>
      <c r="B77" s="41" t="s">
        <v>134</v>
      </c>
      <c r="C77" s="41"/>
      <c r="D77" s="41"/>
      <c r="E77" s="41"/>
      <c r="F77" s="41"/>
      <c r="G77" s="41"/>
      <c r="H77" s="41"/>
      <c r="I77" s="131"/>
      <c r="J77" s="125">
        <v>0.193</v>
      </c>
      <c r="K77" s="125">
        <v>0.193</v>
      </c>
      <c r="L77" s="125">
        <v>0.193</v>
      </c>
      <c r="M77" s="125">
        <v>0.193</v>
      </c>
      <c r="N77" s="125">
        <v>0.193</v>
      </c>
      <c r="O77" s="125">
        <v>0.193</v>
      </c>
    </row>
    <row r="78" spans="1:15" x14ac:dyDescent="0.3">
      <c r="A78" s="41"/>
      <c r="B78" s="41" t="s">
        <v>135</v>
      </c>
      <c r="C78" s="41"/>
      <c r="D78" s="41"/>
      <c r="E78" s="41"/>
      <c r="F78" s="41"/>
      <c r="G78" s="41"/>
      <c r="H78" s="41"/>
      <c r="I78" s="131"/>
      <c r="J78" s="125">
        <v>0.193</v>
      </c>
      <c r="K78" s="125">
        <v>0.193</v>
      </c>
      <c r="L78" s="125">
        <v>0.193</v>
      </c>
      <c r="M78" s="125">
        <v>0.193</v>
      </c>
      <c r="N78" s="125">
        <v>0.193</v>
      </c>
      <c r="O78" s="125">
        <v>0.193</v>
      </c>
    </row>
    <row r="79" spans="1:15" x14ac:dyDescent="0.3">
      <c r="A79" s="41"/>
      <c r="B79" s="41" t="s">
        <v>136</v>
      </c>
      <c r="C79" s="41"/>
      <c r="D79" s="41"/>
      <c r="E79" s="41"/>
      <c r="F79" s="41"/>
      <c r="G79" s="41"/>
      <c r="H79" s="41"/>
      <c r="I79" s="131"/>
      <c r="J79" s="125">
        <v>0.193</v>
      </c>
      <c r="K79" s="125">
        <v>0.193</v>
      </c>
      <c r="L79" s="125">
        <v>0.193</v>
      </c>
      <c r="M79" s="125">
        <v>0.193</v>
      </c>
      <c r="N79" s="125">
        <v>0.193</v>
      </c>
      <c r="O79" s="125">
        <v>0.193</v>
      </c>
    </row>
    <row r="80" spans="1:15" x14ac:dyDescent="0.3">
      <c r="A80" s="41"/>
      <c r="B80" s="41"/>
      <c r="C80" s="41"/>
      <c r="D80" s="41"/>
      <c r="E80" s="41"/>
      <c r="F80" s="41"/>
      <c r="G80" s="41"/>
      <c r="H80" s="41"/>
      <c r="I80" s="131"/>
      <c r="J80" s="41"/>
      <c r="K80" s="41"/>
      <c r="L80" s="41"/>
      <c r="M80" s="41"/>
      <c r="N80" s="41"/>
      <c r="O80" s="41"/>
    </row>
    <row r="81" spans="1:15" x14ac:dyDescent="0.3">
      <c r="A81" s="41"/>
      <c r="B81" s="141" t="s">
        <v>223</v>
      </c>
      <c r="C81" s="141"/>
      <c r="D81" s="141"/>
      <c r="E81" s="141"/>
      <c r="F81" s="141"/>
      <c r="G81" s="141"/>
      <c r="H81" s="141"/>
      <c r="I81" s="142"/>
      <c r="J81" s="141"/>
      <c r="K81" s="141"/>
      <c r="L81" s="141"/>
      <c r="M81" s="141"/>
      <c r="N81" s="141"/>
      <c r="O81" s="141"/>
    </row>
    <row r="82" spans="1:15" x14ac:dyDescent="0.3">
      <c r="A82" s="41"/>
      <c r="B82" s="41"/>
      <c r="C82" s="41"/>
      <c r="D82" s="41"/>
      <c r="E82" s="41"/>
      <c r="F82" s="41"/>
      <c r="G82" s="41"/>
      <c r="H82" s="41"/>
      <c r="I82" s="131"/>
      <c r="J82" s="41"/>
      <c r="K82" s="41"/>
      <c r="L82" s="41"/>
      <c r="M82" s="41"/>
      <c r="N82" s="41"/>
      <c r="O82" s="41"/>
    </row>
    <row r="83" spans="1:15" x14ac:dyDescent="0.3">
      <c r="A83" s="41"/>
      <c r="B83" s="56" t="s">
        <v>224</v>
      </c>
      <c r="C83" s="121">
        <f>'Balance Sheet'!C12</f>
        <v>87</v>
      </c>
      <c r="D83" s="121">
        <f>'Balance Sheet'!D12</f>
        <v>149</v>
      </c>
      <c r="E83" s="121">
        <f>'Balance Sheet'!E12</f>
        <v>391</v>
      </c>
      <c r="F83" s="121">
        <f>'Balance Sheet'!F12</f>
        <v>446</v>
      </c>
      <c r="G83" s="121">
        <f>'Balance Sheet'!G12</f>
        <v>405</v>
      </c>
      <c r="H83" s="121">
        <f>'Balance Sheet'!H12</f>
        <v>457</v>
      </c>
      <c r="I83" s="132">
        <f>'Balance Sheet'!I12</f>
        <v>530</v>
      </c>
      <c r="J83" s="122">
        <f t="shared" ref="J83:O83" si="27">J84*J19</f>
        <v>648.26816000000008</v>
      </c>
      <c r="K83" s="122">
        <f t="shared" si="27"/>
        <v>713.3606238000001</v>
      </c>
      <c r="L83" s="122">
        <f t="shared" si="27"/>
        <v>755.66986908600018</v>
      </c>
      <c r="M83" s="122">
        <f t="shared" si="27"/>
        <v>821.17349277888013</v>
      </c>
      <c r="N83" s="122">
        <f t="shared" si="27"/>
        <v>888.5134802819523</v>
      </c>
      <c r="O83" s="122">
        <f t="shared" si="27"/>
        <v>929.78975468186661</v>
      </c>
    </row>
    <row r="84" spans="1:15" x14ac:dyDescent="0.3">
      <c r="A84" s="41"/>
      <c r="B84" s="123" t="s">
        <v>211</v>
      </c>
      <c r="C84" s="124">
        <f t="shared" ref="C84:I84" si="28">C83/C19</f>
        <v>1.2824292452830189E-2</v>
      </c>
      <c r="D84" s="124">
        <f t="shared" si="28"/>
        <v>1.9403568172939183E-2</v>
      </c>
      <c r="E84" s="124">
        <f t="shared" si="28"/>
        <v>4.0589639779923178E-2</v>
      </c>
      <c r="F84" s="124">
        <f t="shared" si="28"/>
        <v>3.5046361779035043E-2</v>
      </c>
      <c r="G84" s="124">
        <f t="shared" si="28"/>
        <v>2.8187639198218262E-2</v>
      </c>
      <c r="H84" s="124">
        <f t="shared" si="28"/>
        <v>2.8062634326066933E-2</v>
      </c>
      <c r="I84" s="133">
        <f t="shared" si="28"/>
        <v>2.8145079921406191E-2</v>
      </c>
      <c r="J84" s="124">
        <f>CHOOSE(MATCH(Control!$F$6,{"Base","Bull","Bear"},0),J85,J86,J87)</f>
        <v>3.2000000000000001E-2</v>
      </c>
      <c r="K84" s="124">
        <f>CHOOSE(MATCH(Control!$F$6,{"Base","Bull","Bear"},0),K85,K86,K87)</f>
        <v>3.3000000000000002E-2</v>
      </c>
      <c r="L84" s="124">
        <f>CHOOSE(MATCH(Control!$F$6,{"Base","Bull","Bear"},0),L85,L86,L87)</f>
        <v>3.3000000000000002E-2</v>
      </c>
      <c r="M84" s="124">
        <f>CHOOSE(MATCH(Control!$F$6,{"Base","Bull","Bear"},0),M85,M86,M87)</f>
        <v>3.4000000000000002E-2</v>
      </c>
      <c r="N84" s="124">
        <f>CHOOSE(MATCH(Control!$F$6,{"Base","Bull","Bear"},0),N85,N86,N87)</f>
        <v>3.5000000000000003E-2</v>
      </c>
      <c r="O84" s="124">
        <f>CHOOSE(MATCH(Control!$F$6,{"Base","Bull","Bear"},0),O85,O86,O87)</f>
        <v>3.5000000000000003E-2</v>
      </c>
    </row>
    <row r="85" spans="1:15" x14ac:dyDescent="0.3">
      <c r="A85" s="41"/>
      <c r="B85" s="41" t="s">
        <v>134</v>
      </c>
      <c r="C85" s="41"/>
      <c r="D85" s="41"/>
      <c r="E85" s="41"/>
      <c r="F85" s="41"/>
      <c r="G85" s="41"/>
      <c r="H85" s="41"/>
      <c r="I85" s="131"/>
      <c r="J85" s="125">
        <v>2.8000000000000001E-2</v>
      </c>
      <c r="K85" s="125">
        <v>2.8000000000000001E-2</v>
      </c>
      <c r="L85" s="125">
        <v>2.9000000000000001E-2</v>
      </c>
      <c r="M85" s="125">
        <v>2.9000000000000001E-2</v>
      </c>
      <c r="N85" s="125">
        <v>0.03</v>
      </c>
      <c r="O85" s="125">
        <v>0.03</v>
      </c>
    </row>
    <row r="86" spans="1:15" x14ac:dyDescent="0.3">
      <c r="A86" s="41"/>
      <c r="B86" s="41" t="s">
        <v>135</v>
      </c>
      <c r="C86" s="41"/>
      <c r="D86" s="41"/>
      <c r="E86" s="41"/>
      <c r="F86" s="41"/>
      <c r="G86" s="41"/>
      <c r="H86" s="41"/>
      <c r="I86" s="131"/>
      <c r="J86" s="125">
        <v>2.5000000000000001E-2</v>
      </c>
      <c r="K86" s="125">
        <v>2.5000000000000001E-2</v>
      </c>
      <c r="L86" s="125">
        <v>2.5000000000000001E-2</v>
      </c>
      <c r="M86" s="125">
        <v>2.5000000000000001E-2</v>
      </c>
      <c r="N86" s="125">
        <v>2.5000000000000001E-2</v>
      </c>
      <c r="O86" s="125">
        <v>2.5000000000000001E-2</v>
      </c>
    </row>
    <row r="87" spans="1:15" x14ac:dyDescent="0.3">
      <c r="A87" s="41"/>
      <c r="B87" s="41" t="s">
        <v>136</v>
      </c>
      <c r="C87" s="41"/>
      <c r="D87" s="41"/>
      <c r="E87" s="41"/>
      <c r="F87" s="41"/>
      <c r="G87" s="41"/>
      <c r="H87" s="41"/>
      <c r="I87" s="131"/>
      <c r="J87" s="125">
        <v>3.2000000000000001E-2</v>
      </c>
      <c r="K87" s="125">
        <v>3.3000000000000002E-2</v>
      </c>
      <c r="L87" s="125">
        <v>3.3000000000000002E-2</v>
      </c>
      <c r="M87" s="125">
        <v>3.4000000000000002E-2</v>
      </c>
      <c r="N87" s="125">
        <v>3.5000000000000003E-2</v>
      </c>
      <c r="O87" s="125">
        <v>3.5000000000000003E-2</v>
      </c>
    </row>
    <row r="88" spans="1:15" x14ac:dyDescent="0.3">
      <c r="A88" s="41"/>
      <c r="B88" s="41"/>
      <c r="C88" s="41"/>
      <c r="D88" s="41"/>
      <c r="E88" s="41"/>
      <c r="F88" s="41"/>
      <c r="G88" s="41"/>
      <c r="H88" s="41"/>
      <c r="I88" s="131"/>
      <c r="J88" s="41"/>
      <c r="K88" s="41"/>
      <c r="L88" s="41"/>
      <c r="M88" s="41"/>
      <c r="N88" s="41"/>
      <c r="O88" s="41"/>
    </row>
    <row r="89" spans="1:15" x14ac:dyDescent="0.3">
      <c r="A89" s="41"/>
      <c r="B89" s="56" t="s">
        <v>225</v>
      </c>
      <c r="C89" s="121">
        <f>'Balance Sheet'!C15</f>
        <v>266</v>
      </c>
      <c r="D89" s="121">
        <f>'Balance Sheet'!D15</f>
        <v>314</v>
      </c>
      <c r="E89" s="121">
        <f>'Balance Sheet'!E15</f>
        <v>316</v>
      </c>
      <c r="F89" s="121">
        <f>'Balance Sheet'!F15</f>
        <v>287</v>
      </c>
      <c r="G89" s="121">
        <f>'Balance Sheet'!G15</f>
        <v>354</v>
      </c>
      <c r="H89" s="121">
        <f>'Balance Sheet'!H15</f>
        <v>366</v>
      </c>
      <c r="I89" s="132">
        <f>'Balance Sheet'!I15</f>
        <v>496</v>
      </c>
      <c r="J89" s="122">
        <f t="shared" ref="J89:O89" si="29">J90*J19</f>
        <v>567.23464000000001</v>
      </c>
      <c r="K89" s="122">
        <f t="shared" si="29"/>
        <v>605.27568080000003</v>
      </c>
      <c r="L89" s="122">
        <f t="shared" si="29"/>
        <v>664.07352131800019</v>
      </c>
      <c r="M89" s="122">
        <f t="shared" si="29"/>
        <v>700.41268501728007</v>
      </c>
      <c r="N89" s="122">
        <f t="shared" si="29"/>
        <v>761.58298309881616</v>
      </c>
      <c r="O89" s="122">
        <f t="shared" si="29"/>
        <v>796.96264687017128</v>
      </c>
    </row>
    <row r="90" spans="1:15" x14ac:dyDescent="0.3">
      <c r="A90" s="41"/>
      <c r="B90" s="123" t="s">
        <v>211</v>
      </c>
      <c r="C90" s="124">
        <f t="shared" ref="C90:I90" si="30">C89/C19</f>
        <v>3.920990566037736E-2</v>
      </c>
      <c r="D90" s="124">
        <f t="shared" si="30"/>
        <v>4.0890740981898682E-2</v>
      </c>
      <c r="E90" s="124">
        <f t="shared" si="30"/>
        <v>3.2803903249247382E-2</v>
      </c>
      <c r="F90" s="124">
        <f t="shared" si="30"/>
        <v>2.2552255225522552E-2</v>
      </c>
      <c r="G90" s="124">
        <f t="shared" si="30"/>
        <v>2.4638084632516703E-2</v>
      </c>
      <c r="H90" s="124">
        <f t="shared" si="30"/>
        <v>2.2474669941664107E-2</v>
      </c>
      <c r="I90" s="133">
        <f t="shared" si="30"/>
        <v>2.6339546492485794E-2</v>
      </c>
      <c r="J90" s="124">
        <f>CHOOSE(MATCH(Control!$F$6,{"Base","Bull","Bear"},0),J91,J92,J93)</f>
        <v>2.8000000000000001E-2</v>
      </c>
      <c r="K90" s="124">
        <f>CHOOSE(MATCH(Control!$F$6,{"Base","Bull","Bear"},0),K91,K92,K93)</f>
        <v>2.8000000000000001E-2</v>
      </c>
      <c r="L90" s="124">
        <f>CHOOSE(MATCH(Control!$F$6,{"Base","Bull","Bear"},0),L91,L92,L93)</f>
        <v>2.9000000000000001E-2</v>
      </c>
      <c r="M90" s="124">
        <f>CHOOSE(MATCH(Control!$F$6,{"Base","Bull","Bear"},0),M91,M92,M93)</f>
        <v>2.9000000000000001E-2</v>
      </c>
      <c r="N90" s="124">
        <f>CHOOSE(MATCH(Control!$F$6,{"Base","Bull","Bear"},0),N91,N92,N93)</f>
        <v>0.03</v>
      </c>
      <c r="O90" s="124">
        <f>CHOOSE(MATCH(Control!$F$6,{"Base","Bull","Bear"},0),O91,O92,O93)</f>
        <v>0.03</v>
      </c>
    </row>
    <row r="91" spans="1:15" x14ac:dyDescent="0.3">
      <c r="A91" s="41"/>
      <c r="B91" s="41" t="s">
        <v>134</v>
      </c>
      <c r="C91" s="41"/>
      <c r="D91" s="41"/>
      <c r="E91" s="41"/>
      <c r="F91" s="41"/>
      <c r="G91" s="41"/>
      <c r="H91" s="41"/>
      <c r="I91" s="131"/>
      <c r="J91" s="125">
        <v>2.5999999999999999E-2</v>
      </c>
      <c r="K91" s="125">
        <v>2.5999999999999999E-2</v>
      </c>
      <c r="L91" s="125">
        <v>2.5000000000000001E-2</v>
      </c>
      <c r="M91" s="125">
        <v>2.5000000000000001E-2</v>
      </c>
      <c r="N91" s="125">
        <v>2.5000000000000001E-2</v>
      </c>
      <c r="O91" s="125">
        <v>2.5000000000000001E-2</v>
      </c>
    </row>
    <row r="92" spans="1:15" x14ac:dyDescent="0.3">
      <c r="A92" s="41"/>
      <c r="B92" s="41" t="s">
        <v>135</v>
      </c>
      <c r="C92" s="41"/>
      <c r="D92" s="41"/>
      <c r="E92" s="41"/>
      <c r="F92" s="41"/>
      <c r="G92" s="41"/>
      <c r="H92" s="41"/>
      <c r="I92" s="131"/>
      <c r="J92" s="125">
        <v>2.4E-2</v>
      </c>
      <c r="K92" s="125">
        <v>2.3E-2</v>
      </c>
      <c r="L92" s="125">
        <v>2.1999999999999999E-2</v>
      </c>
      <c r="M92" s="125">
        <v>2.1000000000000001E-2</v>
      </c>
      <c r="N92" s="125">
        <v>0.02</v>
      </c>
      <c r="O92" s="125">
        <v>0.02</v>
      </c>
    </row>
    <row r="93" spans="1:15" x14ac:dyDescent="0.3">
      <c r="A93" s="41"/>
      <c r="B93" s="41" t="s">
        <v>136</v>
      </c>
      <c r="C93" s="41"/>
      <c r="D93" s="41"/>
      <c r="E93" s="41"/>
      <c r="F93" s="41"/>
      <c r="G93" s="41"/>
      <c r="H93" s="41"/>
      <c r="I93" s="131"/>
      <c r="J93" s="125">
        <v>2.8000000000000001E-2</v>
      </c>
      <c r="K93" s="125">
        <v>2.8000000000000001E-2</v>
      </c>
      <c r="L93" s="125">
        <v>2.9000000000000001E-2</v>
      </c>
      <c r="M93" s="125">
        <v>2.9000000000000001E-2</v>
      </c>
      <c r="N93" s="125">
        <v>0.03</v>
      </c>
      <c r="O93" s="125">
        <v>0.03</v>
      </c>
    </row>
    <row r="94" spans="1:15" x14ac:dyDescent="0.3">
      <c r="A94" s="41"/>
      <c r="B94" s="41"/>
      <c r="C94" s="41"/>
      <c r="D94" s="41"/>
      <c r="E94" s="41"/>
      <c r="F94" s="41"/>
      <c r="G94" s="41"/>
      <c r="H94" s="41"/>
      <c r="I94" s="131"/>
      <c r="J94" s="41"/>
      <c r="K94" s="41"/>
      <c r="L94" s="41"/>
      <c r="M94" s="41"/>
      <c r="N94" s="41"/>
      <c r="O94" s="41"/>
    </row>
    <row r="95" spans="1:15" x14ac:dyDescent="0.3">
      <c r="A95" s="41"/>
      <c r="B95" s="56" t="s">
        <v>226</v>
      </c>
      <c r="C95" s="121">
        <f>'Balance Sheet'!C34</f>
        <v>274</v>
      </c>
      <c r="D95" s="121">
        <f>'Balance Sheet'!D34</f>
        <v>305</v>
      </c>
      <c r="E95" s="121">
        <f>'Balance Sheet'!E34</f>
        <v>623</v>
      </c>
      <c r="F95" s="121">
        <f>'Balance Sheet'!F34</f>
        <v>737</v>
      </c>
      <c r="G95" s="121">
        <f>'Balance Sheet'!G34</f>
        <v>638</v>
      </c>
      <c r="H95" s="121">
        <f>'Balance Sheet'!H34</f>
        <v>721</v>
      </c>
      <c r="I95" s="132">
        <f>'Balance Sheet'!I34</f>
        <v>792</v>
      </c>
      <c r="J95" s="122">
        <f t="shared" ref="J95:O95" si="31">J96*J19</f>
        <v>769.81844000000001</v>
      </c>
      <c r="K95" s="122">
        <f t="shared" si="31"/>
        <v>821.44556680000005</v>
      </c>
      <c r="L95" s="122">
        <f t="shared" si="31"/>
        <v>847.26621685400016</v>
      </c>
      <c r="M95" s="122">
        <f t="shared" si="31"/>
        <v>869.47781588351995</v>
      </c>
      <c r="N95" s="122">
        <f t="shared" si="31"/>
        <v>888.5134802819523</v>
      </c>
      <c r="O95" s="122">
        <f t="shared" si="31"/>
        <v>929.78975468186661</v>
      </c>
    </row>
    <row r="96" spans="1:15" x14ac:dyDescent="0.3">
      <c r="A96" s="41"/>
      <c r="B96" s="123" t="s">
        <v>211</v>
      </c>
      <c r="C96" s="124">
        <f t="shared" ref="C96:I96" si="32">C95/C19</f>
        <v>4.0389150943396228E-2</v>
      </c>
      <c r="D96" s="124">
        <f t="shared" si="32"/>
        <v>3.9718713374137259E-2</v>
      </c>
      <c r="E96" s="124">
        <f t="shared" si="32"/>
        <v>6.4673518114813658E-2</v>
      </c>
      <c r="F96" s="124">
        <f t="shared" si="32"/>
        <v>5.7912934150557913E-2</v>
      </c>
      <c r="G96" s="124">
        <f t="shared" si="32"/>
        <v>4.4404231625835192E-2</v>
      </c>
      <c r="H96" s="124">
        <f t="shared" si="32"/>
        <v>4.4273871661037766E-2</v>
      </c>
      <c r="I96" s="133">
        <f t="shared" si="32"/>
        <v>4.2058308108969253E-2</v>
      </c>
      <c r="J96" s="124">
        <f>CHOOSE(MATCH(Control!$F$6,{"Base","Bull","Bear"},0),J97,J98,J99)</f>
        <v>3.7999999999999999E-2</v>
      </c>
      <c r="K96" s="124">
        <f>CHOOSE(MATCH(Control!$F$6,{"Base","Bull","Bear"},0),K97,K98,K99)</f>
        <v>3.7999999999999999E-2</v>
      </c>
      <c r="L96" s="124">
        <f>CHOOSE(MATCH(Control!$F$6,{"Base","Bull","Bear"},0),L97,L98,L99)</f>
        <v>3.6999999999999998E-2</v>
      </c>
      <c r="M96" s="124">
        <f>CHOOSE(MATCH(Control!$F$6,{"Base","Bull","Bear"},0),M97,M98,M99)</f>
        <v>3.5999999999999997E-2</v>
      </c>
      <c r="N96" s="124">
        <f>CHOOSE(MATCH(Control!$F$6,{"Base","Bull","Bear"},0),N97,N98,N99)</f>
        <v>3.5000000000000003E-2</v>
      </c>
      <c r="O96" s="124">
        <f>CHOOSE(MATCH(Control!$F$6,{"Base","Bull","Bear"},0),O97,O98,O99)</f>
        <v>3.5000000000000003E-2</v>
      </c>
    </row>
    <row r="97" spans="1:15" x14ac:dyDescent="0.3">
      <c r="A97" s="41"/>
      <c r="B97" s="41" t="s">
        <v>134</v>
      </c>
      <c r="C97" s="41"/>
      <c r="D97" s="41"/>
      <c r="E97" s="41"/>
      <c r="F97" s="41"/>
      <c r="G97" s="41"/>
      <c r="H97" s="41"/>
      <c r="I97" s="131"/>
      <c r="J97" s="125">
        <v>4.2000000000000003E-2</v>
      </c>
      <c r="K97" s="125">
        <v>4.2000000000000003E-2</v>
      </c>
      <c r="L97" s="125">
        <v>4.2000000000000003E-2</v>
      </c>
      <c r="M97" s="125">
        <v>4.2000000000000003E-2</v>
      </c>
      <c r="N97" s="125">
        <v>4.2000000000000003E-2</v>
      </c>
      <c r="O97" s="125">
        <v>4.2000000000000003E-2</v>
      </c>
    </row>
    <row r="98" spans="1:15" x14ac:dyDescent="0.3">
      <c r="A98" s="41"/>
      <c r="B98" s="41" t="s">
        <v>135</v>
      </c>
      <c r="C98" s="41"/>
      <c r="D98" s="41"/>
      <c r="E98" s="41"/>
      <c r="F98" s="41"/>
      <c r="G98" s="41"/>
      <c r="H98" s="41"/>
      <c r="I98" s="131"/>
      <c r="J98" s="125">
        <v>4.4999999999999998E-2</v>
      </c>
      <c r="K98" s="125">
        <v>4.4999999999999998E-2</v>
      </c>
      <c r="L98" s="125">
        <v>4.5999999999999999E-2</v>
      </c>
      <c r="M98" s="125">
        <v>4.5999999999999999E-2</v>
      </c>
      <c r="N98" s="125">
        <v>4.8000000000000001E-2</v>
      </c>
      <c r="O98" s="125">
        <v>4.8000000000000001E-2</v>
      </c>
    </row>
    <row r="99" spans="1:15" x14ac:dyDescent="0.3">
      <c r="A99" s="41"/>
      <c r="B99" s="41" t="s">
        <v>136</v>
      </c>
      <c r="C99" s="41"/>
      <c r="D99" s="41"/>
      <c r="E99" s="41"/>
      <c r="F99" s="41"/>
      <c r="G99" s="41"/>
      <c r="H99" s="41"/>
      <c r="I99" s="131"/>
      <c r="J99" s="125">
        <v>3.7999999999999999E-2</v>
      </c>
      <c r="K99" s="125">
        <v>3.7999999999999999E-2</v>
      </c>
      <c r="L99" s="125">
        <v>3.6999999999999998E-2</v>
      </c>
      <c r="M99" s="125">
        <v>3.5999999999999997E-2</v>
      </c>
      <c r="N99" s="125">
        <v>3.5000000000000003E-2</v>
      </c>
      <c r="O99" s="125">
        <v>3.5000000000000003E-2</v>
      </c>
    </row>
    <row r="100" spans="1:15" x14ac:dyDescent="0.3">
      <c r="A100" s="41"/>
      <c r="B100" s="41"/>
      <c r="C100" s="41"/>
      <c r="D100" s="41"/>
      <c r="E100" s="41"/>
      <c r="F100" s="41"/>
      <c r="G100" s="41"/>
      <c r="H100" s="41"/>
      <c r="I100" s="131"/>
      <c r="J100" s="41"/>
      <c r="K100" s="41"/>
      <c r="L100" s="41"/>
      <c r="M100" s="41"/>
      <c r="N100" s="41"/>
      <c r="O100" s="41"/>
    </row>
    <row r="101" spans="1:15" x14ac:dyDescent="0.3">
      <c r="A101" s="41"/>
      <c r="B101" s="56" t="s">
        <v>227</v>
      </c>
      <c r="C101" s="121">
        <f>'Balance Sheet'!C35+'Balance Sheet'!C39</f>
        <v>587</v>
      </c>
      <c r="D101" s="121">
        <f>'Balance Sheet'!D35+'Balance Sheet'!D39</f>
        <v>733</v>
      </c>
      <c r="E101" s="121">
        <f>'Balance Sheet'!E35+'Balance Sheet'!E39</f>
        <v>825</v>
      </c>
      <c r="F101" s="121">
        <f>'Balance Sheet'!F35+'Balance Sheet'!F39</f>
        <v>1071</v>
      </c>
      <c r="G101" s="121">
        <f>'Balance Sheet'!G35+'Balance Sheet'!G39</f>
        <v>1722</v>
      </c>
      <c r="H101" s="121">
        <f>'Balance Sheet'!H35+'Balance Sheet'!H39</f>
        <v>1407</v>
      </c>
      <c r="I101" s="132">
        <f>'Balance Sheet'!I35+'Balance Sheet'!I39</f>
        <v>1414</v>
      </c>
      <c r="J101" s="122">
        <f t="shared" ref="J101:O101" si="33">J102*J19</f>
        <v>1418.0866000000003</v>
      </c>
      <c r="K101" s="122">
        <f t="shared" si="33"/>
        <v>1513.1892020000003</v>
      </c>
      <c r="L101" s="122">
        <f t="shared" si="33"/>
        <v>1557.1379120560005</v>
      </c>
      <c r="M101" s="122">
        <f t="shared" si="33"/>
        <v>1618.1948240054403</v>
      </c>
      <c r="N101" s="122">
        <f t="shared" si="33"/>
        <v>1650.0964633807685</v>
      </c>
      <c r="O101" s="122">
        <f t="shared" si="33"/>
        <v>1726.752401552038</v>
      </c>
    </row>
    <row r="102" spans="1:15" x14ac:dyDescent="0.3">
      <c r="A102" s="41"/>
      <c r="B102" s="123" t="s">
        <v>211</v>
      </c>
      <c r="C102" s="124">
        <f t="shared" ref="C102:I102" si="34">C101/C19</f>
        <v>8.6527122641509441E-2</v>
      </c>
      <c r="D102" s="124">
        <f t="shared" si="34"/>
        <v>9.5455137387680689E-2</v>
      </c>
      <c r="E102" s="124">
        <f t="shared" si="34"/>
        <v>8.5643101837433816E-2</v>
      </c>
      <c r="F102" s="124">
        <f t="shared" si="34"/>
        <v>8.4158415841584164E-2</v>
      </c>
      <c r="G102" s="124">
        <f t="shared" si="34"/>
        <v>0.11984966592427616</v>
      </c>
      <c r="H102" s="124">
        <f t="shared" si="34"/>
        <v>8.6398526251151367E-2</v>
      </c>
      <c r="I102" s="133">
        <f t="shared" si="34"/>
        <v>7.5088949073336519E-2</v>
      </c>
      <c r="J102" s="124">
        <f>CHOOSE(MATCH(Control!$F$6,{"Base","Bull","Bear"},0),J103,J104,J105)</f>
        <v>7.0000000000000007E-2</v>
      </c>
      <c r="K102" s="124">
        <f>CHOOSE(MATCH(Control!$F$6,{"Base","Bull","Bear"},0),K103,K104,K105)</f>
        <v>7.0000000000000007E-2</v>
      </c>
      <c r="L102" s="124">
        <f>CHOOSE(MATCH(Control!$F$6,{"Base","Bull","Bear"},0),L103,L104,L105)</f>
        <v>6.8000000000000005E-2</v>
      </c>
      <c r="M102" s="124">
        <f>CHOOSE(MATCH(Control!$F$6,{"Base","Bull","Bear"},0),M103,M104,M105)</f>
        <v>6.7000000000000004E-2</v>
      </c>
      <c r="N102" s="124">
        <f>CHOOSE(MATCH(Control!$F$6,{"Base","Bull","Bear"},0),N103,N104,N105)</f>
        <v>6.5000000000000002E-2</v>
      </c>
      <c r="O102" s="124">
        <f>CHOOSE(MATCH(Control!$F$6,{"Base","Bull","Bear"},0),O103,O104,O105)</f>
        <v>6.5000000000000002E-2</v>
      </c>
    </row>
    <row r="103" spans="1:15" x14ac:dyDescent="0.3">
      <c r="A103" s="41"/>
      <c r="B103" s="41" t="s">
        <v>134</v>
      </c>
      <c r="C103" s="41"/>
      <c r="D103" s="41"/>
      <c r="E103" s="41"/>
      <c r="F103" s="41"/>
      <c r="G103" s="41"/>
      <c r="H103" s="41"/>
      <c r="I103" s="131"/>
      <c r="J103" s="125">
        <v>7.4999999999999997E-2</v>
      </c>
      <c r="K103" s="125">
        <v>7.4999999999999997E-2</v>
      </c>
      <c r="L103" s="125">
        <v>7.4999999999999997E-2</v>
      </c>
      <c r="M103" s="125">
        <v>7.4999999999999997E-2</v>
      </c>
      <c r="N103" s="125">
        <v>7.4999999999999997E-2</v>
      </c>
      <c r="O103" s="125">
        <v>7.4999999999999997E-2</v>
      </c>
    </row>
    <row r="104" spans="1:15" x14ac:dyDescent="0.3">
      <c r="A104" s="41"/>
      <c r="B104" s="41" t="s">
        <v>135</v>
      </c>
      <c r="C104" s="41"/>
      <c r="D104" s="41"/>
      <c r="E104" s="41"/>
      <c r="F104" s="41"/>
      <c r="G104" s="41"/>
      <c r="H104" s="41"/>
      <c r="I104" s="131"/>
      <c r="J104" s="125">
        <v>0.08</v>
      </c>
      <c r="K104" s="125">
        <v>0.08</v>
      </c>
      <c r="L104" s="125">
        <v>8.2000000000000003E-2</v>
      </c>
      <c r="M104" s="125">
        <v>8.3000000000000004E-2</v>
      </c>
      <c r="N104" s="125">
        <v>8.5000000000000006E-2</v>
      </c>
      <c r="O104" s="125">
        <v>8.5000000000000006E-2</v>
      </c>
    </row>
    <row r="105" spans="1:15" x14ac:dyDescent="0.3">
      <c r="A105" s="41"/>
      <c r="B105" s="41" t="s">
        <v>136</v>
      </c>
      <c r="C105" s="41"/>
      <c r="D105" s="41"/>
      <c r="E105" s="41"/>
      <c r="F105" s="41"/>
      <c r="G105" s="41"/>
      <c r="H105" s="41"/>
      <c r="I105" s="131"/>
      <c r="J105" s="125">
        <v>7.0000000000000007E-2</v>
      </c>
      <c r="K105" s="125">
        <v>7.0000000000000007E-2</v>
      </c>
      <c r="L105" s="125">
        <v>6.8000000000000005E-2</v>
      </c>
      <c r="M105" s="125">
        <v>6.7000000000000004E-2</v>
      </c>
      <c r="N105" s="125">
        <v>6.5000000000000002E-2</v>
      </c>
      <c r="O105" s="125">
        <v>6.5000000000000002E-2</v>
      </c>
    </row>
    <row r="106" spans="1:15" x14ac:dyDescent="0.3">
      <c r="A106" s="41"/>
      <c r="B106" s="41"/>
      <c r="C106" s="41"/>
      <c r="D106" s="41"/>
      <c r="E106" s="41"/>
      <c r="F106" s="41"/>
      <c r="G106" s="41"/>
      <c r="H106" s="41"/>
      <c r="I106" s="131"/>
      <c r="J106" s="41"/>
      <c r="K106" s="41"/>
      <c r="L106" s="41"/>
      <c r="M106" s="41"/>
      <c r="N106" s="41"/>
      <c r="O106" s="41"/>
    </row>
    <row r="107" spans="1:15" x14ac:dyDescent="0.3">
      <c r="A107" s="41"/>
      <c r="B107" s="143" t="s">
        <v>228</v>
      </c>
      <c r="C107" s="141"/>
      <c r="D107" s="141"/>
      <c r="E107" s="141"/>
      <c r="F107" s="141"/>
      <c r="G107" s="141"/>
      <c r="H107" s="141"/>
      <c r="I107" s="142"/>
      <c r="J107" s="141"/>
      <c r="K107" s="141"/>
      <c r="L107" s="141"/>
      <c r="M107" s="141"/>
      <c r="N107" s="141"/>
      <c r="O107" s="141"/>
    </row>
    <row r="108" spans="1:15" x14ac:dyDescent="0.3">
      <c r="A108" s="41"/>
      <c r="B108" s="56" t="s">
        <v>229</v>
      </c>
      <c r="C108" s="41"/>
      <c r="D108" s="41"/>
      <c r="E108" s="41"/>
      <c r="F108" s="41"/>
      <c r="G108" s="41"/>
      <c r="H108" s="41"/>
      <c r="I108" s="131"/>
      <c r="J108" s="128">
        <f>CHOOSE(MATCH(Control!$F$6,{"Base","Bull","Bear"},0),J109,J110,J111)</f>
        <v>17</v>
      </c>
      <c r="K108" s="41"/>
      <c r="L108" s="41"/>
      <c r="M108" s="41"/>
      <c r="N108" s="41"/>
      <c r="O108" s="41"/>
    </row>
    <row r="109" spans="1:15" x14ac:dyDescent="0.3">
      <c r="A109" s="41"/>
      <c r="B109" s="41" t="s">
        <v>134</v>
      </c>
      <c r="C109" s="41"/>
      <c r="D109" s="41"/>
      <c r="E109" s="41"/>
      <c r="F109" s="41"/>
      <c r="G109" s="41"/>
      <c r="H109" s="41"/>
      <c r="I109" s="131"/>
      <c r="J109" s="129">
        <v>18</v>
      </c>
      <c r="K109" s="41"/>
      <c r="L109" s="41"/>
      <c r="M109" s="41"/>
      <c r="N109" s="41"/>
      <c r="O109" s="41"/>
    </row>
    <row r="110" spans="1:15" x14ac:dyDescent="0.3">
      <c r="A110" s="41"/>
      <c r="B110" s="41" t="s">
        <v>135</v>
      </c>
      <c r="C110" s="41"/>
      <c r="D110" s="41"/>
      <c r="E110" s="41"/>
      <c r="F110" s="41"/>
      <c r="G110" s="41"/>
      <c r="H110" s="41"/>
      <c r="I110" s="131"/>
      <c r="J110" s="129">
        <v>20</v>
      </c>
      <c r="K110" s="41"/>
      <c r="L110" s="41"/>
      <c r="M110" s="41"/>
      <c r="N110" s="41"/>
      <c r="O110" s="41"/>
    </row>
    <row r="111" spans="1:15" x14ac:dyDescent="0.3">
      <c r="A111" s="41"/>
      <c r="B111" s="41" t="s">
        <v>136</v>
      </c>
      <c r="C111" s="41"/>
      <c r="D111" s="41"/>
      <c r="E111" s="41"/>
      <c r="F111" s="41"/>
      <c r="G111" s="41"/>
      <c r="H111" s="41"/>
      <c r="I111" s="131"/>
      <c r="J111" s="129">
        <v>17</v>
      </c>
      <c r="K111" s="41"/>
      <c r="L111" s="41"/>
      <c r="M111" s="41"/>
      <c r="N111" s="41"/>
      <c r="O111" s="41"/>
    </row>
    <row r="112" spans="1:15" x14ac:dyDescent="0.3">
      <c r="A112" s="41"/>
      <c r="B112" s="41"/>
      <c r="C112" s="41"/>
      <c r="D112" s="41"/>
      <c r="E112" s="41"/>
      <c r="F112" s="41"/>
      <c r="G112" s="41"/>
      <c r="H112" s="41"/>
      <c r="I112" s="266"/>
      <c r="J112" s="44"/>
      <c r="K112" s="41"/>
      <c r="L112" s="41"/>
      <c r="M112" s="41"/>
      <c r="N112" s="41"/>
      <c r="O112" s="41"/>
    </row>
    <row r="113" spans="1:15" x14ac:dyDescent="0.3">
      <c r="A113" s="41"/>
      <c r="B113" s="231" t="s">
        <v>280</v>
      </c>
      <c r="C113" s="231"/>
      <c r="D113" s="231"/>
      <c r="E113" s="231"/>
      <c r="F113" s="231"/>
      <c r="G113" s="231"/>
      <c r="H113" s="231"/>
      <c r="I113" s="267"/>
      <c r="J113" s="232">
        <f>CHOOSE(MATCH(Control!$F$6,{"Base","Bull","Bear"},0),J114,J115,J116)</f>
        <v>3.5000000000000003E-2</v>
      </c>
      <c r="K113" s="231"/>
      <c r="L113" s="231"/>
      <c r="M113" s="231"/>
      <c r="N113" s="231"/>
      <c r="O113" s="231"/>
    </row>
    <row r="114" spans="1:15" x14ac:dyDescent="0.3">
      <c r="A114" s="41"/>
      <c r="B114" s="230" t="s">
        <v>134</v>
      </c>
      <c r="C114" s="41"/>
      <c r="D114" s="41"/>
      <c r="E114" s="41"/>
      <c r="F114" s="41"/>
      <c r="G114" s="41"/>
      <c r="H114" s="41"/>
      <c r="I114" s="41"/>
      <c r="J114" s="233">
        <v>3.5000000000000003E-2</v>
      </c>
      <c r="K114" s="41"/>
      <c r="L114" s="41"/>
      <c r="M114" s="41"/>
      <c r="N114" s="41"/>
      <c r="O114" s="41"/>
    </row>
    <row r="115" spans="1:15" x14ac:dyDescent="0.3">
      <c r="A115" s="41"/>
      <c r="B115" s="230" t="s">
        <v>135</v>
      </c>
      <c r="C115" s="41"/>
      <c r="D115" s="41"/>
      <c r="E115" s="41"/>
      <c r="F115" s="41"/>
      <c r="G115" s="41"/>
      <c r="H115" s="41"/>
      <c r="I115" s="41"/>
      <c r="J115" s="233">
        <v>3.5000000000000003E-2</v>
      </c>
      <c r="K115" s="41"/>
      <c r="L115" s="41"/>
      <c r="M115" s="41"/>
      <c r="N115" s="41"/>
      <c r="O115" s="41"/>
    </row>
    <row r="116" spans="1:15" x14ac:dyDescent="0.3">
      <c r="A116" s="41"/>
      <c r="B116" s="230" t="s">
        <v>136</v>
      </c>
      <c r="C116" s="41"/>
      <c r="D116" s="41"/>
      <c r="E116" s="41"/>
      <c r="F116" s="41"/>
      <c r="G116" s="41"/>
      <c r="H116" s="41"/>
      <c r="I116" s="41"/>
      <c r="J116" s="233">
        <v>3.5000000000000003E-2</v>
      </c>
      <c r="K116" s="41"/>
      <c r="L116" s="41"/>
      <c r="M116" s="41"/>
      <c r="N116" s="41"/>
      <c r="O116" s="41"/>
    </row>
    <row r="117" spans="1:15" x14ac:dyDescent="0.3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</row>
    <row r="118" spans="1:15" x14ac:dyDescent="0.3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</row>
    <row r="119" spans="1:15" x14ac:dyDescent="0.3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</row>
    <row r="120" spans="1:15" x14ac:dyDescent="0.3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</row>
    <row r="121" spans="1:15" x14ac:dyDescent="0.3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</row>
    <row r="122" spans="1:15" x14ac:dyDescent="0.3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</row>
    <row r="123" spans="1:15" x14ac:dyDescent="0.3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</row>
    <row r="124" spans="1:15" x14ac:dyDescent="0.3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</row>
    <row r="125" spans="1:15" x14ac:dyDescent="0.3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6D781-1696-4E85-B165-60F8AACC1C58}">
  <dimension ref="A1:Q64"/>
  <sheetViews>
    <sheetView showGridLines="0" zoomScale="146" workbookViewId="0"/>
  </sheetViews>
  <sheetFormatPr defaultRowHeight="15.6" x14ac:dyDescent="0.3"/>
  <cols>
    <col min="1" max="1" width="2.77734375" customWidth="1"/>
    <col min="2" max="2" width="40.77734375" customWidth="1"/>
    <col min="3" max="9" width="12.5546875" customWidth="1"/>
    <col min="10" max="10" width="11.21875" customWidth="1"/>
    <col min="11" max="11" width="37" customWidth="1"/>
    <col min="12" max="12" width="1.88671875" customWidth="1"/>
    <col min="13" max="13" width="14.77734375" customWidth="1"/>
    <col min="15" max="15" width="31.5546875" customWidth="1"/>
    <col min="17" max="17" width="14.77734375" customWidth="1"/>
  </cols>
  <sheetData>
    <row r="1" spans="1:17" x14ac:dyDescent="0.3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17" ht="17.399999999999999" x14ac:dyDescent="0.35">
      <c r="A2" s="144"/>
      <c r="B2" s="39" t="s">
        <v>243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</row>
    <row r="3" spans="1:17" x14ac:dyDescent="0.3">
      <c r="A3" s="144"/>
      <c r="B3" s="40" t="s">
        <v>146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17" x14ac:dyDescent="0.3">
      <c r="A4" s="144"/>
      <c r="B4" s="174"/>
      <c r="C4" s="144"/>
      <c r="D4" s="144"/>
      <c r="E4" s="174"/>
      <c r="F4" s="174"/>
      <c r="G4" s="174"/>
      <c r="H4" s="174"/>
      <c r="I4" s="174"/>
      <c r="J4" s="144"/>
      <c r="K4" s="144"/>
      <c r="L4" s="144"/>
      <c r="M4" s="144"/>
    </row>
    <row r="5" spans="1:17" x14ac:dyDescent="0.3">
      <c r="A5" s="144"/>
      <c r="B5" s="147" t="s">
        <v>202</v>
      </c>
      <c r="C5" s="183" t="s">
        <v>242</v>
      </c>
      <c r="D5" s="184" t="s">
        <v>203</v>
      </c>
      <c r="E5" s="148" t="s">
        <v>204</v>
      </c>
      <c r="F5" s="148" t="s">
        <v>205</v>
      </c>
      <c r="G5" s="148" t="s">
        <v>206</v>
      </c>
      <c r="H5" s="148" t="s">
        <v>207</v>
      </c>
      <c r="I5" s="148" t="s">
        <v>208</v>
      </c>
      <c r="J5" s="211"/>
      <c r="K5" s="219" t="s">
        <v>259</v>
      </c>
      <c r="L5" s="219"/>
      <c r="M5" s="220"/>
      <c r="O5" s="219" t="s">
        <v>275</v>
      </c>
      <c r="P5" s="236"/>
      <c r="Q5" s="220"/>
    </row>
    <row r="6" spans="1:17" x14ac:dyDescent="0.3">
      <c r="A6" s="144"/>
      <c r="B6" s="144"/>
      <c r="C6" s="144"/>
      <c r="D6" s="161"/>
      <c r="E6" s="144"/>
      <c r="F6" s="144"/>
      <c r="G6" s="144"/>
      <c r="H6" s="144"/>
      <c r="I6" s="144"/>
      <c r="J6" s="211"/>
      <c r="K6" s="195" t="s">
        <v>260</v>
      </c>
      <c r="L6" s="180"/>
      <c r="M6" s="196">
        <f>I18+I26</f>
        <v>8341.5423705744597</v>
      </c>
      <c r="O6" s="224" t="s">
        <v>279</v>
      </c>
      <c r="P6" s="225"/>
      <c r="Q6" s="207">
        <f>I29</f>
        <v>6648.0169206889459</v>
      </c>
    </row>
    <row r="7" spans="1:17" x14ac:dyDescent="0.3">
      <c r="A7" s="144"/>
      <c r="B7" s="146" t="s">
        <v>244</v>
      </c>
      <c r="C7" s="185">
        <f>'Metrics &amp; Drivers'!I19</f>
        <v>18831</v>
      </c>
      <c r="D7" s="186">
        <f>'Metrics &amp; Drivers'!J19</f>
        <v>20258.38</v>
      </c>
      <c r="E7" s="167">
        <f>'Metrics &amp; Drivers'!K19</f>
        <v>21616.988600000001</v>
      </c>
      <c r="F7" s="167">
        <f>'Metrics &amp; Drivers'!L19</f>
        <v>22899.086942000005</v>
      </c>
      <c r="G7" s="167">
        <f>'Metrics &amp; Drivers'!M19</f>
        <v>24152.161552320002</v>
      </c>
      <c r="H7" s="167">
        <f>'Metrics &amp; Drivers'!N19</f>
        <v>25386.099436627206</v>
      </c>
      <c r="I7" s="167">
        <f>'Metrics &amp; Drivers'!O19</f>
        <v>26565.421562339045</v>
      </c>
      <c r="J7" s="211"/>
      <c r="K7" s="145" t="s">
        <v>261</v>
      </c>
      <c r="L7" s="144"/>
      <c r="M7" s="200">
        <f>'Metrics &amp; Drivers'!J108</f>
        <v>17</v>
      </c>
      <c r="O7" s="226" t="s">
        <v>276</v>
      </c>
      <c r="Q7" s="229">
        <f>'Metrics &amp; Drivers'!J113</f>
        <v>3.5000000000000003E-2</v>
      </c>
    </row>
    <row r="8" spans="1:17" x14ac:dyDescent="0.3">
      <c r="A8" s="144"/>
      <c r="B8" s="168" t="s">
        <v>209</v>
      </c>
      <c r="C8" s="187"/>
      <c r="D8" s="188">
        <f t="shared" ref="D8:I8" si="0">D7/C7-1</f>
        <v>7.5799479581541096E-2</v>
      </c>
      <c r="E8" s="169">
        <f t="shared" si="0"/>
        <v>6.706402979902637E-2</v>
      </c>
      <c r="F8" s="169">
        <f t="shared" si="0"/>
        <v>5.9309757049138767E-2</v>
      </c>
      <c r="G8" s="169">
        <f t="shared" si="0"/>
        <v>5.4721597131529576E-2</v>
      </c>
      <c r="H8" s="169">
        <f t="shared" si="0"/>
        <v>5.1090163571246627E-2</v>
      </c>
      <c r="I8" s="169">
        <f t="shared" si="0"/>
        <v>4.6455428438537671E-2</v>
      </c>
      <c r="J8" s="211"/>
      <c r="K8" s="153" t="s">
        <v>262</v>
      </c>
      <c r="L8" s="198"/>
      <c r="M8" s="201">
        <f>M6*M7</f>
        <v>141806.22029976582</v>
      </c>
      <c r="O8" s="238" t="s">
        <v>262</v>
      </c>
      <c r="P8" s="199"/>
      <c r="Q8" s="239">
        <f>Q6*(1+Q7)/($C$32-Q7)</f>
        <v>143875.77083700866</v>
      </c>
    </row>
    <row r="9" spans="1:17" x14ac:dyDescent="0.3">
      <c r="A9" s="144"/>
      <c r="B9" s="145" t="s">
        <v>5</v>
      </c>
      <c r="C9" s="189">
        <f>'Metrics &amp; Drivers'!I24</f>
        <v>3692</v>
      </c>
      <c r="D9" s="190">
        <f>'Metrics &amp; Drivers'!J24</f>
        <v>4011.1592400000004</v>
      </c>
      <c r="E9" s="170">
        <f>'Metrics &amp; Drivers'!K24</f>
        <v>4323.3977199999999</v>
      </c>
      <c r="F9" s="170">
        <f>'Metrics &amp; Drivers'!L24</f>
        <v>4579.8173884000016</v>
      </c>
      <c r="G9" s="170">
        <f>'Metrics &amp; Drivers'!M24</f>
        <v>4878.7366335686411</v>
      </c>
      <c r="H9" s="170">
        <f>'Metrics &amp; Drivers'!N24</f>
        <v>5127.9920861986957</v>
      </c>
      <c r="I9" s="170">
        <f>'Metrics &amp; Drivers'!O24</f>
        <v>5445.9114202795035</v>
      </c>
      <c r="J9" s="211"/>
      <c r="K9" s="195" t="s">
        <v>256</v>
      </c>
      <c r="L9" s="180"/>
      <c r="M9" s="202">
        <f>I34</f>
        <v>0.64555309022000085</v>
      </c>
      <c r="O9" s="226" t="s">
        <v>256</v>
      </c>
      <c r="Q9" s="237">
        <f>I34</f>
        <v>0.64555309022000085</v>
      </c>
    </row>
    <row r="10" spans="1:17" x14ac:dyDescent="0.3">
      <c r="A10" s="144"/>
      <c r="B10" s="144"/>
      <c r="C10" s="144"/>
      <c r="D10" s="161"/>
      <c r="E10" s="144"/>
      <c r="F10" s="144"/>
      <c r="G10" s="144"/>
      <c r="H10" s="144"/>
      <c r="I10" s="144"/>
      <c r="J10" s="211"/>
      <c r="K10" s="145" t="s">
        <v>263</v>
      </c>
      <c r="L10" s="144"/>
      <c r="M10" s="203">
        <f>M8*M9</f>
        <v>91543.443726932033</v>
      </c>
      <c r="O10" s="226" t="s">
        <v>263</v>
      </c>
      <c r="Q10" s="203">
        <f>Q8*Q9</f>
        <v>92879.448471615615</v>
      </c>
    </row>
    <row r="11" spans="1:17" x14ac:dyDescent="0.3">
      <c r="A11" s="144"/>
      <c r="B11" s="155" t="s">
        <v>6</v>
      </c>
      <c r="C11" s="212">
        <f t="shared" ref="C11:I11" si="1">C7-C9</f>
        <v>15139</v>
      </c>
      <c r="D11" s="213">
        <f t="shared" si="1"/>
        <v>16247.22076</v>
      </c>
      <c r="E11" s="175">
        <f t="shared" si="1"/>
        <v>17293.59088</v>
      </c>
      <c r="F11" s="175">
        <f t="shared" si="1"/>
        <v>18319.269553600003</v>
      </c>
      <c r="G11" s="175">
        <f t="shared" si="1"/>
        <v>19273.42491875136</v>
      </c>
      <c r="H11" s="175">
        <f t="shared" si="1"/>
        <v>20258.107350428509</v>
      </c>
      <c r="I11" s="175">
        <f t="shared" si="1"/>
        <v>21119.510142059542</v>
      </c>
      <c r="J11" s="211"/>
      <c r="K11" s="145" t="s">
        <v>264</v>
      </c>
      <c r="L11" s="144"/>
      <c r="M11" s="203">
        <f>I37</f>
        <v>27313.526091248674</v>
      </c>
      <c r="O11" s="226" t="s">
        <v>264</v>
      </c>
      <c r="Q11" s="206">
        <f>I37</f>
        <v>27313.526091248674</v>
      </c>
    </row>
    <row r="12" spans="1:17" x14ac:dyDescent="0.3">
      <c r="A12" s="144"/>
      <c r="B12" s="168" t="s">
        <v>245</v>
      </c>
      <c r="C12" s="187">
        <f t="shared" ref="C12:I12" si="2">C11/C7</f>
        <v>0.80394031118899689</v>
      </c>
      <c r="D12" s="188">
        <f t="shared" si="2"/>
        <v>0.80199999999999994</v>
      </c>
      <c r="E12" s="176">
        <f t="shared" si="2"/>
        <v>0.79999999999999993</v>
      </c>
      <c r="F12" s="176">
        <f t="shared" si="2"/>
        <v>0.79999999999999993</v>
      </c>
      <c r="G12" s="176">
        <f t="shared" si="2"/>
        <v>0.79799999999999993</v>
      </c>
      <c r="H12" s="176">
        <f t="shared" si="2"/>
        <v>0.79799999999999993</v>
      </c>
      <c r="I12" s="176">
        <f t="shared" si="2"/>
        <v>0.79500000000000004</v>
      </c>
      <c r="J12" s="211"/>
      <c r="K12" s="153" t="s">
        <v>265</v>
      </c>
      <c r="L12" s="198"/>
      <c r="M12" s="201">
        <f>M10+M11</f>
        <v>118856.9698181807</v>
      </c>
      <c r="O12" s="238" t="s">
        <v>265</v>
      </c>
      <c r="P12" s="199"/>
      <c r="Q12" s="239">
        <f>Q10+Q11</f>
        <v>120192.97456286428</v>
      </c>
    </row>
    <row r="13" spans="1:17" x14ac:dyDescent="0.3">
      <c r="A13" s="144"/>
      <c r="B13" s="144"/>
      <c r="C13" s="144"/>
      <c r="D13" s="161"/>
      <c r="E13" s="144"/>
      <c r="F13" s="144"/>
      <c r="G13" s="144"/>
      <c r="H13" s="144"/>
      <c r="I13" s="144"/>
      <c r="J13" s="211"/>
      <c r="K13" s="204" t="s">
        <v>266</v>
      </c>
      <c r="L13" s="180"/>
      <c r="M13" s="205">
        <f>($C$32*M8-I29)/(M8+I29)</f>
        <v>3.4333303399378422E-2</v>
      </c>
      <c r="O13" s="227" t="s">
        <v>277</v>
      </c>
      <c r="Q13" s="234">
        <f>Q12/(I18+I26)</f>
        <v>14.408962901975515</v>
      </c>
    </row>
    <row r="14" spans="1:17" x14ac:dyDescent="0.3">
      <c r="A14" s="144"/>
      <c r="B14" s="145" t="s">
        <v>212</v>
      </c>
      <c r="C14" s="189">
        <f>'Metrics &amp; Drivers'!I30</f>
        <v>5035</v>
      </c>
      <c r="D14" s="190">
        <f>'Metrics &amp; Drivers'!J30</f>
        <v>5429.2458400000005</v>
      </c>
      <c r="E14" s="170">
        <f>'Metrics &amp; Drivers'!K30</f>
        <v>5793.3529448000008</v>
      </c>
      <c r="F14" s="170">
        <f>'Metrics &amp; Drivers'!L30</f>
        <v>6182.753474340002</v>
      </c>
      <c r="G14" s="170">
        <f>'Metrics &amp; Drivers'!M30</f>
        <v>6521.0836191264007</v>
      </c>
      <c r="H14" s="170">
        <f>'Metrics &amp; Drivers'!N30</f>
        <v>6854.2468478893461</v>
      </c>
      <c r="I14" s="170">
        <f>'Metrics &amp; Drivers'!O30</f>
        <v>7225.7946649562209</v>
      </c>
      <c r="J14" s="211"/>
      <c r="K14" s="145" t="s">
        <v>267</v>
      </c>
      <c r="L14" s="144"/>
      <c r="M14" s="206">
        <f>'Balance Sheet'!I43+'Balance Sheet'!I33</f>
        <v>5973</v>
      </c>
      <c r="O14" s="226" t="s">
        <v>267</v>
      </c>
      <c r="Q14" s="206">
        <f>M14</f>
        <v>5973</v>
      </c>
    </row>
    <row r="15" spans="1:17" x14ac:dyDescent="0.3">
      <c r="A15" s="144"/>
      <c r="B15" s="145" t="s">
        <v>213</v>
      </c>
      <c r="C15" s="189">
        <f>'Metrics &amp; Drivers'!I36</f>
        <v>2928</v>
      </c>
      <c r="D15" s="190">
        <f>'Metrics &amp; Drivers'!J36</f>
        <v>3200.82404</v>
      </c>
      <c r="E15" s="170">
        <f>'Metrics &amp; Drivers'!K36</f>
        <v>3415.4841988000003</v>
      </c>
      <c r="F15" s="170">
        <f>'Metrics &amp; Drivers'!L36</f>
        <v>3663.8539107200008</v>
      </c>
      <c r="G15" s="170">
        <f>'Metrics &amp; Drivers'!M36</f>
        <v>3864.3458483712002</v>
      </c>
      <c r="H15" s="170">
        <f>'Metrics &amp; Drivers'!N36</f>
        <v>4061.7759098603533</v>
      </c>
      <c r="I15" s="170">
        <f>'Metrics &amp; Drivers'!O36</f>
        <v>4303.5982930989258</v>
      </c>
      <c r="J15" s="211"/>
      <c r="K15" s="145" t="s">
        <v>268</v>
      </c>
      <c r="L15" s="144"/>
      <c r="M15" s="206">
        <f>'Balance Sheet'!I10</f>
        <v>2884</v>
      </c>
      <c r="O15" s="226" t="s">
        <v>268</v>
      </c>
      <c r="Q15" s="206">
        <f>M15</f>
        <v>2884</v>
      </c>
    </row>
    <row r="16" spans="1:17" x14ac:dyDescent="0.3">
      <c r="A16" s="144"/>
      <c r="B16" s="145" t="s">
        <v>214</v>
      </c>
      <c r="C16" s="189">
        <f>'Metrics &amp; Drivers'!I42</f>
        <v>1601</v>
      </c>
      <c r="D16" s="190">
        <f>'Metrics &amp; Drivers'!J42</f>
        <v>1762.4790599999999</v>
      </c>
      <c r="E16" s="170">
        <f>'Metrics &amp; Drivers'!K42</f>
        <v>1880.6780082</v>
      </c>
      <c r="F16" s="170">
        <f>'Metrics &amp; Drivers'!L42</f>
        <v>2015.1196508960004</v>
      </c>
      <c r="G16" s="170">
        <f>'Metrics &amp; Drivers'!M42</f>
        <v>2125.3902166041598</v>
      </c>
      <c r="H16" s="170">
        <f>'Metrics &amp; Drivers'!N42</f>
        <v>2233.9767504231941</v>
      </c>
      <c r="I16" s="170">
        <f>'Metrics &amp; Drivers'!O42</f>
        <v>2390.8879406105139</v>
      </c>
      <c r="J16" s="211"/>
      <c r="K16" s="153" t="s">
        <v>269</v>
      </c>
      <c r="L16" s="198"/>
      <c r="M16" s="201">
        <f>M12-M14+M15</f>
        <v>115767.9698181807</v>
      </c>
      <c r="O16" s="238" t="s">
        <v>269</v>
      </c>
      <c r="P16" s="199"/>
      <c r="Q16" s="239">
        <f>Q12-Q14+Q15</f>
        <v>117103.97456286428</v>
      </c>
    </row>
    <row r="17" spans="1:17" x14ac:dyDescent="0.3">
      <c r="A17" s="144"/>
      <c r="B17" s="144"/>
      <c r="C17" s="144"/>
      <c r="D17" s="161"/>
      <c r="E17" s="144"/>
      <c r="F17" s="144"/>
      <c r="G17" s="144"/>
      <c r="H17" s="144"/>
      <c r="I17" s="144"/>
      <c r="J17" s="211"/>
      <c r="K17" s="195" t="s">
        <v>153</v>
      </c>
      <c r="L17" s="180"/>
      <c r="M17" s="207">
        <f>Control!F12</f>
        <v>276.55</v>
      </c>
      <c r="O17" s="226" t="s">
        <v>278</v>
      </c>
      <c r="Q17" s="235">
        <f>M17</f>
        <v>276.55</v>
      </c>
    </row>
    <row r="18" spans="1:17" ht="16.2" thickBot="1" x14ac:dyDescent="0.35">
      <c r="A18" s="144"/>
      <c r="B18" s="155" t="s">
        <v>246</v>
      </c>
      <c r="C18" s="212">
        <f t="shared" ref="C18:I18" si="3">C11-C14-C15-C16</f>
        <v>5575</v>
      </c>
      <c r="D18" s="213">
        <f t="shared" si="3"/>
        <v>5854.6718200000014</v>
      </c>
      <c r="E18" s="175">
        <f t="shared" si="3"/>
        <v>6204.0757281999977</v>
      </c>
      <c r="F18" s="175">
        <f t="shared" si="3"/>
        <v>6457.5425176439985</v>
      </c>
      <c r="G18" s="175">
        <f t="shared" si="3"/>
        <v>6762.605234649599</v>
      </c>
      <c r="H18" s="175">
        <f t="shared" si="3"/>
        <v>7108.1078422556157</v>
      </c>
      <c r="I18" s="175">
        <f t="shared" si="3"/>
        <v>7199.2292433938801</v>
      </c>
      <c r="J18" s="211"/>
      <c r="K18" s="153" t="s">
        <v>270</v>
      </c>
      <c r="L18" s="198"/>
      <c r="M18" s="209">
        <f>M16/M17</f>
        <v>418.61496951068773</v>
      </c>
      <c r="O18" s="238" t="s">
        <v>270</v>
      </c>
      <c r="P18" s="199"/>
      <c r="Q18" s="242">
        <f>Q16/Q17</f>
        <v>423.44593947880776</v>
      </c>
    </row>
    <row r="19" spans="1:17" x14ac:dyDescent="0.3">
      <c r="A19" s="144"/>
      <c r="B19" s="168" t="s">
        <v>245</v>
      </c>
      <c r="C19" s="187">
        <f t="shared" ref="C19:I19" si="4">C18/C7</f>
        <v>0.29605437841856513</v>
      </c>
      <c r="D19" s="188">
        <f t="shared" si="4"/>
        <v>0.28900000000000003</v>
      </c>
      <c r="E19" s="176">
        <f t="shared" si="4"/>
        <v>0.28699999999999987</v>
      </c>
      <c r="F19" s="176">
        <f t="shared" si="4"/>
        <v>0.28199999999999986</v>
      </c>
      <c r="G19" s="176">
        <f t="shared" si="4"/>
        <v>0.27999999999999992</v>
      </c>
      <c r="H19" s="176">
        <f t="shared" si="4"/>
        <v>0.27999999999999992</v>
      </c>
      <c r="I19" s="176">
        <f t="shared" si="4"/>
        <v>0.27099999999999996</v>
      </c>
      <c r="J19" s="211"/>
      <c r="K19" s="177" t="s">
        <v>271</v>
      </c>
      <c r="L19" s="208"/>
      <c r="M19" s="210">
        <f>M18/Control!F11-1</f>
        <v>-0.10824836608080501</v>
      </c>
      <c r="O19" s="228" t="s">
        <v>271</v>
      </c>
      <c r="P19" s="49"/>
      <c r="Q19" s="240">
        <f>Q18/Control!F11-1</f>
        <v>-9.7957225829606642E-2</v>
      </c>
    </row>
    <row r="20" spans="1:17" x14ac:dyDescent="0.3">
      <c r="A20" s="144"/>
      <c r="B20" s="144"/>
      <c r="C20" s="144"/>
      <c r="D20" s="161"/>
      <c r="E20" s="144"/>
      <c r="F20" s="144"/>
      <c r="G20" s="144"/>
      <c r="H20" s="144"/>
      <c r="I20" s="144"/>
      <c r="J20" s="144"/>
      <c r="K20" s="180"/>
      <c r="L20" s="180"/>
      <c r="M20" s="180"/>
    </row>
    <row r="21" spans="1:17" x14ac:dyDescent="0.3">
      <c r="A21" s="144"/>
      <c r="B21" s="145" t="s">
        <v>247</v>
      </c>
      <c r="C21" s="191">
        <f>C18*'Metrics &amp; Drivers'!I76</f>
        <v>1112.9240794373191</v>
      </c>
      <c r="D21" s="192">
        <f>D18*'Metrics &amp; Drivers'!J76</f>
        <v>1129.9516612600003</v>
      </c>
      <c r="E21" s="171">
        <f>E18*'Metrics &amp; Drivers'!K76</f>
        <v>1197.3866155425997</v>
      </c>
      <c r="F21" s="171">
        <f>F18*'Metrics &amp; Drivers'!L76</f>
        <v>1246.3057059052917</v>
      </c>
      <c r="G21" s="171">
        <f>G18*'Metrics &amp; Drivers'!M76</f>
        <v>1305.1828102873726</v>
      </c>
      <c r="H21" s="171">
        <f>H18*'Metrics &amp; Drivers'!N76</f>
        <v>1371.864813555334</v>
      </c>
      <c r="I21" s="171">
        <f>I18*'Metrics &amp; Drivers'!O76</f>
        <v>1389.451243975019</v>
      </c>
      <c r="J21" s="144"/>
      <c r="K21" s="241" t="s">
        <v>281</v>
      </c>
      <c r="L21" s="241"/>
      <c r="M21" s="241"/>
      <c r="N21" s="241"/>
      <c r="O21" s="241"/>
      <c r="P21" s="241"/>
      <c r="Q21" s="241"/>
    </row>
    <row r="22" spans="1:17" x14ac:dyDescent="0.3">
      <c r="A22" s="144"/>
      <c r="B22" s="168" t="s">
        <v>248</v>
      </c>
      <c r="C22" s="187">
        <f t="shared" ref="C22:I22" si="5">C21/C18</f>
        <v>0.19962763756723212</v>
      </c>
      <c r="D22" s="188">
        <f t="shared" si="5"/>
        <v>0.193</v>
      </c>
      <c r="E22" s="169">
        <f t="shared" si="5"/>
        <v>0.193</v>
      </c>
      <c r="F22" s="169">
        <f t="shared" si="5"/>
        <v>0.193</v>
      </c>
      <c r="G22" s="169">
        <f t="shared" si="5"/>
        <v>0.193</v>
      </c>
      <c r="H22" s="169">
        <f t="shared" si="5"/>
        <v>0.19300000000000003</v>
      </c>
      <c r="I22" s="169">
        <f t="shared" si="5"/>
        <v>0.19300000000000003</v>
      </c>
      <c r="J22" s="144"/>
      <c r="K22" s="243" t="s">
        <v>259</v>
      </c>
      <c r="L22" s="244"/>
      <c r="M22" s="244"/>
      <c r="N22" s="225"/>
      <c r="O22" s="225"/>
      <c r="P22" s="225"/>
      <c r="Q22" s="248">
        <v>0.5</v>
      </c>
    </row>
    <row r="23" spans="1:17" x14ac:dyDescent="0.3">
      <c r="A23" s="144"/>
      <c r="B23" s="155" t="s">
        <v>249</v>
      </c>
      <c r="C23" s="212">
        <f t="shared" ref="C23:I23" si="6">C18-C21</f>
        <v>4462.0759205626809</v>
      </c>
      <c r="D23" s="213">
        <f t="shared" si="6"/>
        <v>4724.7201587400014</v>
      </c>
      <c r="E23" s="175">
        <f t="shared" si="6"/>
        <v>5006.6891126573983</v>
      </c>
      <c r="F23" s="175">
        <f t="shared" si="6"/>
        <v>5211.2368117387068</v>
      </c>
      <c r="G23" s="175">
        <f t="shared" si="6"/>
        <v>5457.4224243622266</v>
      </c>
      <c r="H23" s="175">
        <f t="shared" si="6"/>
        <v>5736.2430287002817</v>
      </c>
      <c r="I23" s="175">
        <f t="shared" si="6"/>
        <v>5809.7779994188613</v>
      </c>
      <c r="J23" s="144"/>
      <c r="K23" s="245" t="s">
        <v>275</v>
      </c>
      <c r="L23" s="144"/>
      <c r="M23" s="144"/>
      <c r="Q23" s="249">
        <v>0.5</v>
      </c>
    </row>
    <row r="24" spans="1:17" x14ac:dyDescent="0.3">
      <c r="A24" s="144"/>
      <c r="B24" s="168" t="s">
        <v>245</v>
      </c>
      <c r="C24" s="187">
        <f t="shared" ref="C24:I24" si="7">C23/C7</f>
        <v>0.23695374226343163</v>
      </c>
      <c r="D24" s="188">
        <f t="shared" si="7"/>
        <v>0.23322300000000004</v>
      </c>
      <c r="E24" s="176">
        <f t="shared" si="7"/>
        <v>0.23160899999999993</v>
      </c>
      <c r="F24" s="176">
        <f t="shared" si="7"/>
        <v>0.22757399999999989</v>
      </c>
      <c r="G24" s="176">
        <f t="shared" si="7"/>
        <v>0.22595999999999997</v>
      </c>
      <c r="H24" s="176">
        <f t="shared" si="7"/>
        <v>0.22595999999999994</v>
      </c>
      <c r="I24" s="176">
        <f t="shared" si="7"/>
        <v>0.21869699999999997</v>
      </c>
      <c r="J24" s="144"/>
      <c r="K24" s="197" t="s">
        <v>281</v>
      </c>
      <c r="L24" s="155"/>
      <c r="M24" s="155"/>
      <c r="N24" s="155"/>
      <c r="O24" s="155"/>
      <c r="P24" s="155"/>
      <c r="Q24" s="250">
        <f>Control!F11*(1+Q25)</f>
        <v>421.03045449474774</v>
      </c>
    </row>
    <row r="25" spans="1:17" x14ac:dyDescent="0.3">
      <c r="A25" s="144"/>
      <c r="B25" s="144"/>
      <c r="C25" s="144"/>
      <c r="D25" s="161"/>
      <c r="E25" s="144"/>
      <c r="F25" s="144"/>
      <c r="G25" s="144"/>
      <c r="H25" s="144"/>
      <c r="I25" s="144"/>
      <c r="J25" s="144"/>
      <c r="K25" s="246" t="s">
        <v>282</v>
      </c>
      <c r="L25" s="173"/>
      <c r="M25" s="173"/>
      <c r="N25" s="49"/>
      <c r="O25" s="49"/>
      <c r="P25" s="49"/>
      <c r="Q25" s="247">
        <f>M19*Q22+Q19*Q23</f>
        <v>-0.10310279595520583</v>
      </c>
    </row>
    <row r="26" spans="1:17" x14ac:dyDescent="0.3">
      <c r="A26" s="144"/>
      <c r="B26" s="145" t="s">
        <v>250</v>
      </c>
      <c r="C26" s="189">
        <f>'Metrics &amp; Drivers'!I48</f>
        <v>809</v>
      </c>
      <c r="D26" s="190">
        <f>'Metrics &amp; Drivers'!J48</f>
        <v>850.85196000000008</v>
      </c>
      <c r="E26" s="170">
        <f>'Metrics &amp; Drivers'!K48</f>
        <v>907.9135212000001</v>
      </c>
      <c r="F26" s="170">
        <f>'Metrics &amp; Drivers'!L48</f>
        <v>961.76165156400032</v>
      </c>
      <c r="G26" s="170">
        <f>'Metrics &amp; Drivers'!M48</f>
        <v>1038.5429467497599</v>
      </c>
      <c r="H26" s="170">
        <f>'Metrics &amp; Drivers'!N48</f>
        <v>1091.6022757749697</v>
      </c>
      <c r="I26" s="170">
        <f>'Metrics &amp; Drivers'!O48</f>
        <v>1142.3131271805789</v>
      </c>
      <c r="J26" s="144"/>
      <c r="K26" s="144"/>
      <c r="L26" s="144"/>
      <c r="M26" s="144"/>
    </row>
    <row r="27" spans="1:17" x14ac:dyDescent="0.3">
      <c r="A27" s="144"/>
      <c r="B27" s="145" t="s">
        <v>251</v>
      </c>
      <c r="C27" s="189">
        <f>ABS('Metrics &amp; Drivers'!I61)</f>
        <v>124</v>
      </c>
      <c r="D27" s="190">
        <f>ABS('Metrics &amp; Drivers'!J61)</f>
        <v>222.84217999999998</v>
      </c>
      <c r="E27" s="170">
        <f>ABS('Metrics &amp; Drivers'!K61)</f>
        <v>237.7868746</v>
      </c>
      <c r="F27" s="170">
        <f>ABS('Metrics &amp; Drivers'!L61)</f>
        <v>274.78904330400007</v>
      </c>
      <c r="G27" s="170">
        <f>ABS('Metrics &amp; Drivers'!M61)</f>
        <v>289.82593862784</v>
      </c>
      <c r="H27" s="170">
        <f>ABS('Metrics &amp; Drivers'!N61)</f>
        <v>330.01929267615367</v>
      </c>
      <c r="I27" s="170">
        <f>ABS('Metrics &amp; Drivers'!O61)</f>
        <v>345.35048031040759</v>
      </c>
      <c r="J27" s="144"/>
      <c r="K27" s="144"/>
      <c r="L27" s="144"/>
      <c r="M27" s="144"/>
    </row>
    <row r="28" spans="1:17" x14ac:dyDescent="0.3">
      <c r="A28" s="144"/>
      <c r="B28" s="145" t="s">
        <v>252</v>
      </c>
      <c r="C28" s="189">
        <f>'Net Working Capital'!I20</f>
        <v>-22</v>
      </c>
      <c r="D28" s="190">
        <f>'Net Working Capital'!J20</f>
        <v>1226.5977599999997</v>
      </c>
      <c r="E28" s="270">
        <f>'Net Working Capital'!K20</f>
        <v>-43.596224200000051</v>
      </c>
      <c r="F28" s="270">
        <f>'Net Working Capital'!L20</f>
        <v>31.337725694000255</v>
      </c>
      <c r="G28" s="270">
        <f>'Net Working Capital'!M20</f>
        <v>18.574276413199868</v>
      </c>
      <c r="H28" s="270">
        <f>'Net Working Capital'!N20</f>
        <v>77.57298181084775</v>
      </c>
      <c r="I28" s="270">
        <f>'Net Working Capital'!O20</f>
        <v>-41.2762743999142</v>
      </c>
      <c r="J28" s="144"/>
      <c r="K28" s="144"/>
      <c r="L28" s="144"/>
      <c r="M28" s="144"/>
    </row>
    <row r="29" spans="1:17" ht="16.2" thickBot="1" x14ac:dyDescent="0.35">
      <c r="A29" s="144"/>
      <c r="B29" s="153" t="s">
        <v>253</v>
      </c>
      <c r="C29" s="216">
        <f t="shared" ref="C29:I29" si="8">C23+C26-C27-C28</f>
        <v>5169.0759205626809</v>
      </c>
      <c r="D29" s="217">
        <f t="shared" si="8"/>
        <v>4126.132178740002</v>
      </c>
      <c r="E29" s="175">
        <f t="shared" si="8"/>
        <v>5720.4119834573976</v>
      </c>
      <c r="F29" s="175">
        <f t="shared" si="8"/>
        <v>5866.8716943047066</v>
      </c>
      <c r="G29" s="175">
        <f t="shared" si="8"/>
        <v>6187.5651560709466</v>
      </c>
      <c r="H29" s="175">
        <f t="shared" si="8"/>
        <v>6420.2530299882501</v>
      </c>
      <c r="I29" s="175">
        <f t="shared" si="8"/>
        <v>6648.0169206889459</v>
      </c>
      <c r="J29" s="144"/>
      <c r="K29" s="144"/>
      <c r="L29" s="144"/>
      <c r="M29" s="144"/>
    </row>
    <row r="30" spans="1:17" x14ac:dyDescent="0.3">
      <c r="A30" s="144"/>
      <c r="B30" s="177" t="s">
        <v>245</v>
      </c>
      <c r="C30" s="187">
        <f t="shared" ref="C30:I30" si="9">C29/C7</f>
        <v>0.27449821680009989</v>
      </c>
      <c r="D30" s="188">
        <f t="shared" si="9"/>
        <v>0.20367532738254499</v>
      </c>
      <c r="E30" s="178">
        <f t="shared" si="9"/>
        <v>0.26462575751450401</v>
      </c>
      <c r="F30" s="178">
        <f t="shared" si="9"/>
        <v>0.25620548579795444</v>
      </c>
      <c r="G30" s="178">
        <f t="shared" si="9"/>
        <v>0.25619094765770906</v>
      </c>
      <c r="H30" s="178">
        <f t="shared" si="9"/>
        <v>0.25290427330183202</v>
      </c>
      <c r="I30" s="178">
        <f t="shared" si="9"/>
        <v>0.25025075943510072</v>
      </c>
      <c r="J30" s="144"/>
      <c r="K30" s="144"/>
      <c r="L30" s="144"/>
      <c r="M30" s="144"/>
    </row>
    <row r="31" spans="1:17" ht="16.2" thickBot="1" x14ac:dyDescent="0.35">
      <c r="A31" s="144"/>
      <c r="B31" s="144"/>
      <c r="C31" s="144"/>
      <c r="D31" s="161"/>
      <c r="E31" s="144"/>
      <c r="F31" s="144"/>
      <c r="G31" s="144"/>
      <c r="H31" s="144"/>
      <c r="I31" s="144"/>
      <c r="J31" s="144"/>
      <c r="K31" s="144"/>
      <c r="L31" s="144"/>
      <c r="M31" s="144"/>
    </row>
    <row r="32" spans="1:17" ht="16.2" thickBot="1" x14ac:dyDescent="0.35">
      <c r="A32" s="144"/>
      <c r="B32" s="214" t="s">
        <v>254</v>
      </c>
      <c r="C32" s="215">
        <f>WACC!J24</f>
        <v>8.2823879398762262E-2</v>
      </c>
      <c r="D32" s="161"/>
      <c r="E32" s="144"/>
      <c r="F32" s="144"/>
      <c r="G32" s="144"/>
      <c r="H32" s="144"/>
      <c r="I32" s="144"/>
      <c r="J32" s="144"/>
      <c r="K32" s="144"/>
      <c r="L32" s="144"/>
      <c r="M32" s="144"/>
    </row>
    <row r="33" spans="1:13" x14ac:dyDescent="0.3">
      <c r="A33" s="144"/>
      <c r="B33" s="145" t="s">
        <v>255</v>
      </c>
      <c r="C33" s="144"/>
      <c r="D33" s="193">
        <v>0.5</v>
      </c>
      <c r="E33" s="172">
        <f>D33+1</f>
        <v>1.5</v>
      </c>
      <c r="F33" s="172">
        <f>E33+1</f>
        <v>2.5</v>
      </c>
      <c r="G33" s="172">
        <f>F33+1</f>
        <v>3.5</v>
      </c>
      <c r="H33" s="172">
        <f>G33+1</f>
        <v>4.5</v>
      </c>
      <c r="I33" s="172">
        <f>H33+1</f>
        <v>5.5</v>
      </c>
      <c r="J33" s="144"/>
      <c r="K33" s="144"/>
      <c r="L33" s="144"/>
      <c r="M33" s="144"/>
    </row>
    <row r="34" spans="1:13" x14ac:dyDescent="0.3">
      <c r="A34" s="144"/>
      <c r="B34" s="145" t="s">
        <v>256</v>
      </c>
      <c r="C34" s="144"/>
      <c r="D34" s="194">
        <f t="shared" ref="D34:I34" si="10">1/(1+$C$32)^D33</f>
        <v>0.96099491061987885</v>
      </c>
      <c r="E34" s="179">
        <f t="shared" si="10"/>
        <v>0.88748958062641814</v>
      </c>
      <c r="F34" s="179">
        <f t="shared" si="10"/>
        <v>0.81960658377722206</v>
      </c>
      <c r="G34" s="179">
        <f t="shared" si="10"/>
        <v>0.75691587465942134</v>
      </c>
      <c r="H34" s="179">
        <f t="shared" si="10"/>
        <v>0.69902030150988059</v>
      </c>
      <c r="I34" s="179">
        <f t="shared" si="10"/>
        <v>0.64555309022000085</v>
      </c>
      <c r="J34" s="144"/>
      <c r="K34" s="144"/>
      <c r="L34" s="144"/>
      <c r="M34" s="144"/>
    </row>
    <row r="35" spans="1:13" x14ac:dyDescent="0.3">
      <c r="A35" s="144"/>
      <c r="B35" s="155" t="s">
        <v>257</v>
      </c>
      <c r="C35" s="155"/>
      <c r="D35" s="218">
        <f t="shared" ref="D35:I35" si="11">D29*D34</f>
        <v>3965.1920243140544</v>
      </c>
      <c r="E35" s="175">
        <f t="shared" si="11"/>
        <v>5076.8060322089423</v>
      </c>
      <c r="F35" s="175">
        <f t="shared" si="11"/>
        <v>4808.526666828363</v>
      </c>
      <c r="G35" s="175">
        <f t="shared" si="11"/>
        <v>4683.4662921195995</v>
      </c>
      <c r="H35" s="175">
        <f t="shared" si="11"/>
        <v>4487.8872087921109</v>
      </c>
      <c r="I35" s="175">
        <f t="shared" si="11"/>
        <v>4291.6478669856033</v>
      </c>
      <c r="J35" s="144"/>
      <c r="K35" s="144"/>
      <c r="L35" s="144"/>
      <c r="M35" s="144"/>
    </row>
    <row r="36" spans="1:13" x14ac:dyDescent="0.3">
      <c r="A36" s="144"/>
      <c r="B36" s="144"/>
      <c r="C36" s="144"/>
      <c r="D36" s="144"/>
      <c r="E36" s="180"/>
      <c r="F36" s="180"/>
      <c r="G36" s="180"/>
      <c r="H36" s="180"/>
      <c r="I36" s="180"/>
      <c r="J36" s="144"/>
      <c r="K36" s="144"/>
      <c r="L36" s="144"/>
      <c r="M36" s="144"/>
    </row>
    <row r="37" spans="1:13" ht="16.2" thickBot="1" x14ac:dyDescent="0.35">
      <c r="A37" s="144"/>
      <c r="B37" s="181" t="s">
        <v>258</v>
      </c>
      <c r="C37" s="157"/>
      <c r="D37" s="157"/>
      <c r="E37" s="157"/>
      <c r="F37" s="157"/>
      <c r="G37" s="157"/>
      <c r="H37" s="157"/>
      <c r="I37" s="182">
        <f>SUM(D35:I35)</f>
        <v>27313.526091248674</v>
      </c>
      <c r="J37" s="144"/>
      <c r="K37" s="144"/>
      <c r="L37" s="144"/>
      <c r="M37" s="144"/>
    </row>
    <row r="40" spans="1:13" ht="16.2" thickBot="1" x14ac:dyDescent="0.35">
      <c r="B40" s="265" t="s">
        <v>285</v>
      </c>
      <c r="C40" s="251"/>
      <c r="D40" s="251"/>
      <c r="E40" s="251"/>
      <c r="F40" s="251"/>
      <c r="G40" s="251"/>
      <c r="H40" s="251"/>
      <c r="I40" s="251"/>
    </row>
    <row r="42" spans="1:13" x14ac:dyDescent="0.3">
      <c r="B42" s="263" t="s">
        <v>283</v>
      </c>
      <c r="C42" s="262"/>
      <c r="D42" s="261"/>
      <c r="E42" s="261"/>
      <c r="F42" s="262" t="s">
        <v>284</v>
      </c>
      <c r="G42" s="261"/>
      <c r="H42" s="261"/>
      <c r="I42" s="261"/>
    </row>
    <row r="43" spans="1:13" x14ac:dyDescent="0.3">
      <c r="B43" s="271"/>
      <c r="C43" s="272">
        <v>12</v>
      </c>
      <c r="D43" s="272">
        <v>14</v>
      </c>
      <c r="E43" s="272">
        <v>16</v>
      </c>
      <c r="F43" s="272">
        <v>18</v>
      </c>
      <c r="G43" s="272">
        <v>20</v>
      </c>
      <c r="H43" s="272">
        <v>22</v>
      </c>
      <c r="I43" s="273">
        <v>24</v>
      </c>
    </row>
    <row r="44" spans="1:13" ht="16.2" thickBot="1" x14ac:dyDescent="0.35">
      <c r="B44" s="274">
        <v>5.2999999999999999E-2</v>
      </c>
      <c r="C44" s="287">
        <f>($D$29/(1+$B44)^0.5+$E$29/(1+$B44)^1.5+$F$29/(1+$B44)^2.5+$G$29/(1+$B44)^3.5+$H$29/(1+$B44)^4.5+$I$29/(1+$B44)^5.5+$M$6*C$43/(1+$B44)^5.5-$M$14+$M$15)/$M$17</f>
        <v>368.78587688022986</v>
      </c>
      <c r="D44" s="288">
        <f t="shared" ref="D44:I50" si="12">($D$29/(1+$B44)^0.5+$E$29/(1+$B44)^1.5+$F$29/(1+$B44)^2.5+$G$29/(1+$B44)^3.5+$H$29/(1+$B44)^4.5+$I$29/(1+$B44)^5.5+$M$6*D$43/(1+$B44)^5.5-$M$14+$M$15)/$M$17</f>
        <v>414.19536971912248</v>
      </c>
      <c r="E44" s="288">
        <f t="shared" si="12"/>
        <v>459.6048625580151</v>
      </c>
      <c r="F44" s="288">
        <f t="shared" si="12"/>
        <v>505.01435539690766</v>
      </c>
      <c r="G44" s="288">
        <f t="shared" si="12"/>
        <v>550.42384823580028</v>
      </c>
      <c r="H44" s="288">
        <f t="shared" si="12"/>
        <v>595.83334107469284</v>
      </c>
      <c r="I44" s="289">
        <f t="shared" si="12"/>
        <v>641.24283391358529</v>
      </c>
    </row>
    <row r="45" spans="1:13" ht="16.2" thickBot="1" x14ac:dyDescent="0.35">
      <c r="B45" s="275">
        <v>6.3E-2</v>
      </c>
      <c r="C45" s="290">
        <f t="shared" ref="C45:C50" si="13">($D$29/(1+$B45)^0.5+$E$29/(1+$B45)^1.5+$F$29/(1+$B45)^2.5+$G$29/(1+$B45)^3.5+$H$29/(1+$B45)^4.5+$I$29/(1+$B45)^5.5+$M$6*C$43/(1+$B45)^5.5-$M$14+$M$15)/$M$17</f>
        <v>351.91994965506927</v>
      </c>
      <c r="D45" s="279">
        <f t="shared" si="12"/>
        <v>395.02912728168536</v>
      </c>
      <c r="E45" s="282">
        <f t="shared" si="12"/>
        <v>438.13830490830145</v>
      </c>
      <c r="F45" s="282">
        <f t="shared" si="12"/>
        <v>481.24748253491754</v>
      </c>
      <c r="G45" s="282">
        <f t="shared" si="12"/>
        <v>524.35666016153345</v>
      </c>
      <c r="H45" s="283">
        <f t="shared" si="12"/>
        <v>567.46583778814966</v>
      </c>
      <c r="I45" s="294">
        <f t="shared" si="12"/>
        <v>610.57501541476574</v>
      </c>
    </row>
    <row r="46" spans="1:13" x14ac:dyDescent="0.3">
      <c r="B46" s="275">
        <v>7.2999999999999995E-2</v>
      </c>
      <c r="C46" s="290">
        <f t="shared" si="13"/>
        <v>336.01227362839711</v>
      </c>
      <c r="D46" s="280">
        <f t="shared" si="12"/>
        <v>376.95758915603631</v>
      </c>
      <c r="E46" s="252">
        <f t="shared" si="12"/>
        <v>417.90290468367544</v>
      </c>
      <c r="F46" s="253">
        <f t="shared" si="12"/>
        <v>458.84822021131458</v>
      </c>
      <c r="G46" s="254">
        <f t="shared" si="12"/>
        <v>499.79353573895378</v>
      </c>
      <c r="H46" s="284">
        <f t="shared" si="12"/>
        <v>540.73885126659297</v>
      </c>
      <c r="I46" s="294">
        <f t="shared" si="12"/>
        <v>581.68416679423194</v>
      </c>
    </row>
    <row r="47" spans="1:13" x14ac:dyDescent="0.3">
      <c r="B47" s="275">
        <v>8.3000000000000004E-2</v>
      </c>
      <c r="C47" s="290">
        <f t="shared" si="13"/>
        <v>320.99927937872599</v>
      </c>
      <c r="D47" s="280">
        <f t="shared" si="12"/>
        <v>359.90793108471098</v>
      </c>
      <c r="E47" s="255">
        <f t="shared" si="12"/>
        <v>398.81658279069603</v>
      </c>
      <c r="F47" s="256">
        <f t="shared" si="12"/>
        <v>437.72523449668108</v>
      </c>
      <c r="G47" s="257">
        <f t="shared" si="12"/>
        <v>476.63388620266613</v>
      </c>
      <c r="H47" s="284">
        <f t="shared" si="12"/>
        <v>515.54253790865118</v>
      </c>
      <c r="I47" s="294">
        <f t="shared" si="12"/>
        <v>554.45118961463618</v>
      </c>
    </row>
    <row r="48" spans="1:13" ht="16.2" thickBot="1" x14ac:dyDescent="0.35">
      <c r="B48" s="275">
        <v>9.2999999999999999E-2</v>
      </c>
      <c r="C48" s="290">
        <f t="shared" si="13"/>
        <v>306.82217492196196</v>
      </c>
      <c r="D48" s="280">
        <f t="shared" si="12"/>
        <v>343.8128112471536</v>
      </c>
      <c r="E48" s="258">
        <f t="shared" si="12"/>
        <v>380.80344757234536</v>
      </c>
      <c r="F48" s="259">
        <f t="shared" si="12"/>
        <v>417.79408389753706</v>
      </c>
      <c r="G48" s="260">
        <f t="shared" si="12"/>
        <v>454.78472022272871</v>
      </c>
      <c r="H48" s="284">
        <f t="shared" si="12"/>
        <v>491.77535654792047</v>
      </c>
      <c r="I48" s="294">
        <f t="shared" si="12"/>
        <v>528.76599287311205</v>
      </c>
    </row>
    <row r="49" spans="2:9" ht="16.2" thickBot="1" x14ac:dyDescent="0.35">
      <c r="B49" s="275">
        <v>0.10299999999999999</v>
      </c>
      <c r="C49" s="290">
        <f t="shared" si="13"/>
        <v>293.42654625433852</v>
      </c>
      <c r="D49" s="281">
        <f t="shared" si="12"/>
        <v>328.60991131511508</v>
      </c>
      <c r="E49" s="286">
        <f t="shared" si="12"/>
        <v>363.79327637589171</v>
      </c>
      <c r="F49" s="286">
        <f t="shared" si="12"/>
        <v>398.97664143666833</v>
      </c>
      <c r="G49" s="286">
        <f t="shared" si="12"/>
        <v>434.16000649744495</v>
      </c>
      <c r="H49" s="285">
        <f t="shared" si="12"/>
        <v>469.34337155822152</v>
      </c>
      <c r="I49" s="294">
        <f t="shared" si="12"/>
        <v>504.52673661899814</v>
      </c>
    </row>
    <row r="50" spans="2:9" x14ac:dyDescent="0.3">
      <c r="B50" s="276">
        <v>0.113</v>
      </c>
      <c r="C50" s="291">
        <f t="shared" si="13"/>
        <v>280.76199457848105</v>
      </c>
      <c r="D50" s="292">
        <f t="shared" si="12"/>
        <v>314.24151969008233</v>
      </c>
      <c r="E50" s="292">
        <f t="shared" si="12"/>
        <v>347.72104480168366</v>
      </c>
      <c r="F50" s="292">
        <f t="shared" si="12"/>
        <v>381.20056991328488</v>
      </c>
      <c r="G50" s="292">
        <f t="shared" si="12"/>
        <v>414.68009502488616</v>
      </c>
      <c r="H50" s="292">
        <f t="shared" si="12"/>
        <v>448.15962013648749</v>
      </c>
      <c r="I50" s="293">
        <f t="shared" si="12"/>
        <v>481.63914524808877</v>
      </c>
    </row>
    <row r="54" spans="2:9" ht="16.2" thickBot="1" x14ac:dyDescent="0.35">
      <c r="B54" s="264" t="s">
        <v>286</v>
      </c>
      <c r="C54" s="251"/>
      <c r="D54" s="251"/>
      <c r="E54" s="251"/>
      <c r="F54" s="251"/>
      <c r="G54" s="251"/>
      <c r="H54" s="251"/>
      <c r="I54" s="251"/>
    </row>
    <row r="55" spans="2:9" x14ac:dyDescent="0.3">
      <c r="B55" s="146"/>
    </row>
    <row r="56" spans="2:9" x14ac:dyDescent="0.3">
      <c r="B56" s="263" t="s">
        <v>283</v>
      </c>
      <c r="C56" s="262"/>
      <c r="D56" s="261"/>
      <c r="E56" s="261"/>
      <c r="F56" s="262" t="s">
        <v>276</v>
      </c>
      <c r="G56" s="261"/>
      <c r="H56" s="261"/>
      <c r="I56" s="261"/>
    </row>
    <row r="57" spans="2:9" x14ac:dyDescent="0.3">
      <c r="B57" s="271"/>
      <c r="C57" s="277">
        <v>0.02</v>
      </c>
      <c r="D57" s="277">
        <v>2.5000000000000001E-2</v>
      </c>
      <c r="E57" s="277">
        <v>0.03</v>
      </c>
      <c r="F57" s="277">
        <v>3.5000000000000003E-2</v>
      </c>
      <c r="G57" s="277">
        <v>0.04</v>
      </c>
      <c r="H57" s="277">
        <v>4.4999999999999998E-2</v>
      </c>
      <c r="I57" s="278">
        <v>0.05</v>
      </c>
    </row>
    <row r="58" spans="2:9" ht="16.2" thickBot="1" x14ac:dyDescent="0.35">
      <c r="B58" s="274">
        <v>5.2999999999999999E-2</v>
      </c>
      <c r="C58" s="287">
        <f t="shared" ref="C58:I58" si="14">($D$29/(1+$B58)^0.5+$E$29/(1+$B58)^1.5+$F$29/(1+$B58)^2.5+$G$29/(1+$B58)^3.5+$H$29/(1+$B58)^4.5+$I$29/(1+$B58)^5.5+$I$29*(1+C$57)/($B58-C$57)/(1+$B58)^5.5-$M$14+$M$15)/$M$17</f>
        <v>655.63384504787564</v>
      </c>
      <c r="D58" s="288">
        <f t="shared" si="14"/>
        <v>758.7410030024721</v>
      </c>
      <c r="E58" s="288">
        <f t="shared" si="14"/>
        <v>906.67736006776249</v>
      </c>
      <c r="F58" s="288">
        <f t="shared" si="14"/>
        <v>1136.8005821693255</v>
      </c>
      <c r="G58" s="288">
        <f t="shared" si="14"/>
        <v>1543.9416674259371</v>
      </c>
      <c r="H58" s="288">
        <f t="shared" si="14"/>
        <v>2460.0091092533116</v>
      </c>
      <c r="I58" s="289">
        <f t="shared" si="14"/>
        <v>6429.6346905052806</v>
      </c>
    </row>
    <row r="59" spans="2:9" ht="16.2" thickBot="1" x14ac:dyDescent="0.35">
      <c r="B59" s="275">
        <v>6.3E-2</v>
      </c>
      <c r="C59" s="290">
        <f t="shared" ref="C59:C64" si="15">($D$29/(1+$B59)^0.5+$E$29/(1+$B59)^1.5+$F$29/(1+$B59)^2.5+$G$29/(1+$B59)^3.5+$H$29/(1+$B59)^4.5+$I$29/(1+$B59)^5.5+$I$29*(1+C$57)/($B59-C$57)/(1+$B59)^5.5-$M$14+$M$15)/$M$17</f>
        <v>500.75512713626284</v>
      </c>
      <c r="D59" s="279">
        <f t="shared" ref="D59:I64" si="16">($D$29/(1+$B59)^0.5+$E$29/(1+$B59)^1.5+$F$29/(1+$B59)^2.5+$G$29/(1+$B59)^3.5+$H$29/(1+$B59)^4.5+$I$29/(1+$B59)^5.5+$I$29*(1+D$57)/($B59-D$57)/(1+$B59)^5.5-$M$14+$M$15)/$M$17</f>
        <v>556.63259470141566</v>
      </c>
      <c r="E59" s="282">
        <f t="shared" si="16"/>
        <v>629.44262819540302</v>
      </c>
      <c r="F59" s="282">
        <f t="shared" si="16"/>
        <v>728.25624508009992</v>
      </c>
      <c r="G59" s="282">
        <f t="shared" si="16"/>
        <v>870.03230408857814</v>
      </c>
      <c r="H59" s="283">
        <f t="shared" si="16"/>
        <v>1090.5728403239884</v>
      </c>
      <c r="I59" s="294">
        <f t="shared" si="16"/>
        <v>1480.7599428943308</v>
      </c>
    </row>
    <row r="60" spans="2:9" x14ac:dyDescent="0.3">
      <c r="B60" s="275">
        <v>7.2999999999999995E-2</v>
      </c>
      <c r="C60" s="290">
        <f t="shared" si="15"/>
        <v>404.35096309155978</v>
      </c>
      <c r="D60" s="280">
        <f t="shared" si="16"/>
        <v>438.76000671501907</v>
      </c>
      <c r="E60" s="252">
        <f t="shared" si="16"/>
        <v>481.17115350672486</v>
      </c>
      <c r="F60" s="253">
        <f t="shared" si="16"/>
        <v>534.74312840151106</v>
      </c>
      <c r="G60" s="254">
        <f t="shared" si="16"/>
        <v>604.54903508259611</v>
      </c>
      <c r="H60" s="284">
        <f t="shared" si="16"/>
        <v>699.28562272121144</v>
      </c>
      <c r="I60" s="294">
        <f t="shared" si="16"/>
        <v>835.2120310722687</v>
      </c>
    </row>
    <row r="61" spans="2:9" x14ac:dyDescent="0.3">
      <c r="B61" s="275">
        <v>8.3000000000000004E-2</v>
      </c>
      <c r="C61" s="290">
        <f t="shared" si="15"/>
        <v>338.57502132103218</v>
      </c>
      <c r="D61" s="280">
        <f t="shared" si="16"/>
        <v>361.5519438454582</v>
      </c>
      <c r="E61" s="255">
        <f t="shared" si="16"/>
        <v>388.86413477071926</v>
      </c>
      <c r="F61" s="256">
        <f t="shared" si="16"/>
        <v>421.86636547207638</v>
      </c>
      <c r="G61" s="257">
        <f t="shared" si="16"/>
        <v>462.54353354584219</v>
      </c>
      <c r="H61" s="284">
        <f t="shared" si="16"/>
        <v>513.92521953375683</v>
      </c>
      <c r="I61" s="294">
        <f t="shared" si="16"/>
        <v>580.8771133967972</v>
      </c>
    </row>
    <row r="62" spans="2:9" ht="16.2" thickBot="1" x14ac:dyDescent="0.35">
      <c r="B62" s="275">
        <v>9.2999999999999999E-2</v>
      </c>
      <c r="C62" s="290">
        <f t="shared" si="15"/>
        <v>290.83930123863706</v>
      </c>
      <c r="D62" s="280">
        <f t="shared" si="16"/>
        <v>307.06733700022392</v>
      </c>
      <c r="E62" s="258">
        <f t="shared" si="16"/>
        <v>325.8712514541262</v>
      </c>
      <c r="F62" s="259">
        <f t="shared" si="16"/>
        <v>347.91722012421843</v>
      </c>
      <c r="G62" s="260">
        <f t="shared" si="16"/>
        <v>374.12280552451688</v>
      </c>
      <c r="H62" s="284">
        <f t="shared" si="16"/>
        <v>405.78788788321077</v>
      </c>
      <c r="I62" s="294">
        <f t="shared" si="16"/>
        <v>444.81694288346137</v>
      </c>
    </row>
    <row r="63" spans="2:9" ht="16.2" thickBot="1" x14ac:dyDescent="0.35">
      <c r="B63" s="275">
        <v>0.10299999999999999</v>
      </c>
      <c r="C63" s="290">
        <f t="shared" si="15"/>
        <v>254.62236353415301</v>
      </c>
      <c r="D63" s="281">
        <f t="shared" si="16"/>
        <v>266.56570795546116</v>
      </c>
      <c r="E63" s="286">
        <f t="shared" si="16"/>
        <v>280.14512695503061</v>
      </c>
      <c r="F63" s="286">
        <f t="shared" si="16"/>
        <v>295.7215193368898</v>
      </c>
      <c r="G63" s="286">
        <f t="shared" si="16"/>
        <v>313.77035495396473</v>
      </c>
      <c r="H63" s="285">
        <f t="shared" si="16"/>
        <v>334.93105878088011</v>
      </c>
      <c r="I63" s="294">
        <f t="shared" si="16"/>
        <v>360.08434823551539</v>
      </c>
    </row>
    <row r="64" spans="2:9" x14ac:dyDescent="0.3">
      <c r="B64" s="276">
        <v>0.113</v>
      </c>
      <c r="C64" s="291">
        <f t="shared" si="15"/>
        <v>226.20773474509767</v>
      </c>
      <c r="D64" s="292">
        <f t="shared" si="16"/>
        <v>235.27955835810556</v>
      </c>
      <c r="E64" s="292">
        <f t="shared" si="16"/>
        <v>245.44437276786141</v>
      </c>
      <c r="F64" s="292">
        <f t="shared" si="16"/>
        <v>256.91236851220128</v>
      </c>
      <c r="G64" s="292">
        <f t="shared" si="16"/>
        <v>269.95132257768358</v>
      </c>
      <c r="H64" s="292">
        <f t="shared" si="16"/>
        <v>284.90776988808983</v>
      </c>
      <c r="I64" s="293">
        <f t="shared" si="16"/>
        <v>302.23825645411614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1E4B9-C634-42EB-A768-04359DDBCD15}">
  <dimension ref="A1:O20"/>
  <sheetViews>
    <sheetView showGridLines="0" workbookViewId="0"/>
  </sheetViews>
  <sheetFormatPr defaultRowHeight="15.6" x14ac:dyDescent="0.3"/>
  <cols>
    <col min="1" max="1" width="3.33203125" customWidth="1"/>
    <col min="2" max="2" width="37" customWidth="1"/>
    <col min="3" max="15" width="12.5546875" customWidth="1"/>
  </cols>
  <sheetData>
    <row r="1" spans="1:15" x14ac:dyDescent="0.3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</row>
    <row r="2" spans="1:15" ht="17.399999999999999" x14ac:dyDescent="0.35">
      <c r="A2" s="144"/>
      <c r="B2" s="39" t="s">
        <v>232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</row>
    <row r="3" spans="1:15" x14ac:dyDescent="0.3">
      <c r="A3" s="144"/>
      <c r="B3" s="40" t="s">
        <v>2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</row>
    <row r="4" spans="1:15" x14ac:dyDescent="0.3">
      <c r="A4" s="144"/>
      <c r="B4" s="144"/>
      <c r="C4" s="146" t="s">
        <v>3</v>
      </c>
      <c r="D4" s="144"/>
      <c r="E4" s="144"/>
      <c r="F4" s="144"/>
      <c r="G4" s="144"/>
      <c r="H4" s="144"/>
      <c r="I4" s="144"/>
      <c r="J4" s="146" t="s">
        <v>233</v>
      </c>
      <c r="K4" s="144"/>
      <c r="L4" s="144"/>
      <c r="M4" s="144"/>
      <c r="N4" s="144"/>
      <c r="O4" s="144"/>
    </row>
    <row r="5" spans="1:15" x14ac:dyDescent="0.3">
      <c r="A5" s="144"/>
      <c r="B5" s="147" t="s">
        <v>202</v>
      </c>
      <c r="C5" s="149">
        <v>2019</v>
      </c>
      <c r="D5" s="149">
        <v>2020</v>
      </c>
      <c r="E5" s="149">
        <v>2021</v>
      </c>
      <c r="F5" s="149">
        <v>2022</v>
      </c>
      <c r="G5" s="149">
        <v>2023</v>
      </c>
      <c r="H5" s="149">
        <v>2024</v>
      </c>
      <c r="I5" s="149">
        <v>2025</v>
      </c>
      <c r="J5" s="160" t="s">
        <v>203</v>
      </c>
      <c r="K5" s="148" t="s">
        <v>204</v>
      </c>
      <c r="L5" s="148" t="s">
        <v>205</v>
      </c>
      <c r="M5" s="148" t="s">
        <v>206</v>
      </c>
      <c r="N5" s="148" t="s">
        <v>207</v>
      </c>
      <c r="O5" s="148" t="s">
        <v>208</v>
      </c>
    </row>
    <row r="6" spans="1:15" x14ac:dyDescent="0.3">
      <c r="A6" s="144"/>
      <c r="B6" s="144"/>
      <c r="C6" s="144"/>
      <c r="D6" s="144"/>
      <c r="E6" s="144"/>
      <c r="F6" s="144"/>
      <c r="G6" s="144"/>
      <c r="H6" s="144"/>
      <c r="I6" s="144"/>
      <c r="J6" s="161"/>
      <c r="K6" s="144"/>
      <c r="L6" s="144"/>
      <c r="M6" s="144"/>
      <c r="N6" s="144"/>
      <c r="O6" s="144"/>
    </row>
    <row r="7" spans="1:15" x14ac:dyDescent="0.3">
      <c r="A7" s="144"/>
      <c r="B7" s="150" t="s">
        <v>232</v>
      </c>
      <c r="C7" s="144"/>
      <c r="D7" s="144"/>
      <c r="E7" s="144"/>
      <c r="F7" s="144"/>
      <c r="G7" s="144"/>
      <c r="H7" s="144"/>
      <c r="I7" s="144"/>
      <c r="J7" s="161"/>
      <c r="K7" s="144"/>
      <c r="L7" s="144"/>
      <c r="M7" s="144"/>
      <c r="N7" s="144"/>
      <c r="O7" s="144"/>
    </row>
    <row r="8" spans="1:15" x14ac:dyDescent="0.3">
      <c r="A8" s="144"/>
      <c r="B8" s="144"/>
      <c r="C8" s="144"/>
      <c r="D8" s="144"/>
      <c r="E8" s="144"/>
      <c r="F8" s="144"/>
      <c r="G8" s="144"/>
      <c r="H8" s="144"/>
      <c r="I8" s="144"/>
      <c r="J8" s="161"/>
      <c r="K8" s="144"/>
      <c r="L8" s="144"/>
      <c r="M8" s="144"/>
      <c r="N8" s="144"/>
      <c r="O8" s="144"/>
    </row>
    <row r="9" spans="1:15" x14ac:dyDescent="0.3">
      <c r="A9" s="144"/>
      <c r="B9" s="145" t="s">
        <v>37</v>
      </c>
      <c r="C9" s="151">
        <f>'Balance Sheet'!C12</f>
        <v>87</v>
      </c>
      <c r="D9" s="151">
        <f>'Balance Sheet'!D12</f>
        <v>149</v>
      </c>
      <c r="E9" s="151">
        <f>'Balance Sheet'!E12</f>
        <v>391</v>
      </c>
      <c r="F9" s="151">
        <f>'Balance Sheet'!F12</f>
        <v>446</v>
      </c>
      <c r="G9" s="151">
        <f>'Balance Sheet'!G12</f>
        <v>405</v>
      </c>
      <c r="H9" s="151">
        <f>'Balance Sheet'!H12</f>
        <v>457</v>
      </c>
      <c r="I9" s="151">
        <f>'Balance Sheet'!I12</f>
        <v>530</v>
      </c>
      <c r="J9" s="162">
        <f>'Metrics &amp; Drivers'!J83</f>
        <v>648.26816000000008</v>
      </c>
      <c r="K9" s="151">
        <f>'Metrics &amp; Drivers'!K83</f>
        <v>713.3606238000001</v>
      </c>
      <c r="L9" s="151">
        <f>'Metrics &amp; Drivers'!L83</f>
        <v>755.66986908600018</v>
      </c>
      <c r="M9" s="151">
        <f>'Metrics &amp; Drivers'!M83</f>
        <v>821.17349277888013</v>
      </c>
      <c r="N9" s="151">
        <f>'Metrics &amp; Drivers'!N83</f>
        <v>888.5134802819523</v>
      </c>
      <c r="O9" s="151">
        <f>'Metrics &amp; Drivers'!O83</f>
        <v>929.78975468186661</v>
      </c>
    </row>
    <row r="10" spans="1:15" x14ac:dyDescent="0.3">
      <c r="A10" s="144"/>
      <c r="B10" s="145" t="s">
        <v>40</v>
      </c>
      <c r="C10" s="151">
        <f>'Balance Sheet'!C15</f>
        <v>266</v>
      </c>
      <c r="D10" s="151">
        <f>'Balance Sheet'!D15</f>
        <v>314</v>
      </c>
      <c r="E10" s="151">
        <f>'Balance Sheet'!E15</f>
        <v>316</v>
      </c>
      <c r="F10" s="151">
        <f>'Balance Sheet'!F15</f>
        <v>287</v>
      </c>
      <c r="G10" s="151">
        <f>'Balance Sheet'!G15</f>
        <v>354</v>
      </c>
      <c r="H10" s="151">
        <f>'Balance Sheet'!H15</f>
        <v>366</v>
      </c>
      <c r="I10" s="151">
        <f>'Balance Sheet'!I15</f>
        <v>496</v>
      </c>
      <c r="J10" s="162">
        <f>'Metrics &amp; Drivers'!J89</f>
        <v>567.23464000000001</v>
      </c>
      <c r="K10" s="151">
        <f>'Metrics &amp; Drivers'!K89</f>
        <v>605.27568080000003</v>
      </c>
      <c r="L10" s="151">
        <f>'Metrics &amp; Drivers'!L89</f>
        <v>664.07352131800019</v>
      </c>
      <c r="M10" s="151">
        <f>'Metrics &amp; Drivers'!M89</f>
        <v>700.41268501728007</v>
      </c>
      <c r="N10" s="151">
        <f>'Metrics &amp; Drivers'!N89</f>
        <v>761.58298309881616</v>
      </c>
      <c r="O10" s="151">
        <f>'Metrics &amp; Drivers'!O89</f>
        <v>796.96264687017128</v>
      </c>
    </row>
    <row r="11" spans="1:15" x14ac:dyDescent="0.3">
      <c r="A11" s="144"/>
      <c r="B11" s="155" t="s">
        <v>234</v>
      </c>
      <c r="C11" s="156">
        <f t="shared" ref="C11:O11" si="0">SUM(C9:C10)</f>
        <v>353</v>
      </c>
      <c r="D11" s="156">
        <f t="shared" si="0"/>
        <v>463</v>
      </c>
      <c r="E11" s="156">
        <f t="shared" si="0"/>
        <v>707</v>
      </c>
      <c r="F11" s="156">
        <f t="shared" si="0"/>
        <v>733</v>
      </c>
      <c r="G11" s="156">
        <f t="shared" si="0"/>
        <v>759</v>
      </c>
      <c r="H11" s="156">
        <f t="shared" si="0"/>
        <v>823</v>
      </c>
      <c r="I11" s="156">
        <f t="shared" si="0"/>
        <v>1026</v>
      </c>
      <c r="J11" s="163">
        <f t="shared" si="0"/>
        <v>1215.5028000000002</v>
      </c>
      <c r="K11" s="156">
        <f t="shared" si="0"/>
        <v>1318.6363046000001</v>
      </c>
      <c r="L11" s="156">
        <f t="shared" si="0"/>
        <v>1419.7433904040004</v>
      </c>
      <c r="M11" s="156">
        <f t="shared" si="0"/>
        <v>1521.5861777961602</v>
      </c>
      <c r="N11" s="156">
        <f t="shared" si="0"/>
        <v>1650.0964633807685</v>
      </c>
      <c r="O11" s="156">
        <f t="shared" si="0"/>
        <v>1726.752401552038</v>
      </c>
    </row>
    <row r="12" spans="1:15" x14ac:dyDescent="0.3">
      <c r="A12" s="144"/>
      <c r="B12" s="144"/>
      <c r="C12" s="144"/>
      <c r="D12" s="144"/>
      <c r="E12" s="144"/>
      <c r="F12" s="144"/>
      <c r="G12" s="144"/>
      <c r="H12" s="144"/>
      <c r="I12" s="144"/>
      <c r="J12" s="161"/>
      <c r="K12" s="144"/>
      <c r="L12" s="144"/>
      <c r="M12" s="144"/>
      <c r="N12" s="144"/>
      <c r="O12" s="144"/>
    </row>
    <row r="13" spans="1:15" x14ac:dyDescent="0.3">
      <c r="A13" s="144"/>
      <c r="B13" s="145" t="s">
        <v>56</v>
      </c>
      <c r="C13" s="151">
        <f>'Balance Sheet'!C34</f>
        <v>274</v>
      </c>
      <c r="D13" s="151">
        <f>'Balance Sheet'!D34</f>
        <v>305</v>
      </c>
      <c r="E13" s="151">
        <f>'Balance Sheet'!E34</f>
        <v>623</v>
      </c>
      <c r="F13" s="151">
        <f>'Balance Sheet'!F34</f>
        <v>737</v>
      </c>
      <c r="G13" s="151">
        <f>'Balance Sheet'!G34</f>
        <v>638</v>
      </c>
      <c r="H13" s="151">
        <f>'Balance Sheet'!H34</f>
        <v>721</v>
      </c>
      <c r="I13" s="151">
        <f>'Balance Sheet'!I34</f>
        <v>792</v>
      </c>
      <c r="J13" s="162">
        <f>'Metrics &amp; Drivers'!J95</f>
        <v>769.81844000000001</v>
      </c>
      <c r="K13" s="151">
        <f>'Metrics &amp; Drivers'!K95</f>
        <v>821.44556680000005</v>
      </c>
      <c r="L13" s="151">
        <f>'Metrics &amp; Drivers'!L95</f>
        <v>847.26621685400016</v>
      </c>
      <c r="M13" s="151">
        <f>'Metrics &amp; Drivers'!M95</f>
        <v>869.47781588351995</v>
      </c>
      <c r="N13" s="151">
        <f>'Metrics &amp; Drivers'!N95</f>
        <v>888.5134802819523</v>
      </c>
      <c r="O13" s="151">
        <f>'Metrics &amp; Drivers'!O95</f>
        <v>929.78975468186661</v>
      </c>
    </row>
    <row r="14" spans="1:15" x14ac:dyDescent="0.3">
      <c r="A14" s="144"/>
      <c r="B14" s="145" t="s">
        <v>57</v>
      </c>
      <c r="C14" s="151">
        <f>'Balance Sheet'!C35</f>
        <v>385</v>
      </c>
      <c r="D14" s="151">
        <f>'Balance Sheet'!D35</f>
        <v>482</v>
      </c>
      <c r="E14" s="151">
        <f>'Balance Sheet'!E35</f>
        <v>530</v>
      </c>
      <c r="F14" s="151">
        <f>'Balance Sheet'!F35</f>
        <v>576</v>
      </c>
      <c r="G14" s="151">
        <f>'Balance Sheet'!G35</f>
        <v>665</v>
      </c>
      <c r="H14" s="151">
        <f>'Balance Sheet'!H35</f>
        <v>921</v>
      </c>
      <c r="I14" s="151">
        <f>'Balance Sheet'!I35</f>
        <v>858</v>
      </c>
      <c r="J14" s="162">
        <f>'Metrics &amp; Drivers'!J101</f>
        <v>1418.0866000000003</v>
      </c>
      <c r="K14" s="151">
        <f>'Metrics &amp; Drivers'!K101</f>
        <v>1513.1892020000003</v>
      </c>
      <c r="L14" s="151">
        <f>'Metrics &amp; Drivers'!L101</f>
        <v>1557.1379120560005</v>
      </c>
      <c r="M14" s="151">
        <f>'Metrics &amp; Drivers'!M101</f>
        <v>1618.1948240054403</v>
      </c>
      <c r="N14" s="151">
        <f>'Metrics &amp; Drivers'!N101</f>
        <v>1650.0964633807685</v>
      </c>
      <c r="O14" s="151">
        <f>'Metrics &amp; Drivers'!O101</f>
        <v>1726.752401552038</v>
      </c>
    </row>
    <row r="15" spans="1:15" x14ac:dyDescent="0.3">
      <c r="A15" s="144"/>
      <c r="B15" s="145" t="s">
        <v>58</v>
      </c>
      <c r="C15" s="151">
        <f>'Balance Sheet'!C36</f>
        <v>619</v>
      </c>
      <c r="D15" s="151">
        <f>'Balance Sheet'!D36</f>
        <v>652</v>
      </c>
      <c r="E15" s="151">
        <f>'Balance Sheet'!E36</f>
        <v>684</v>
      </c>
      <c r="F15" s="151">
        <f>'Balance Sheet'!F36</f>
        <v>808</v>
      </c>
      <c r="G15" s="151">
        <f>'Balance Sheet'!G36</f>
        <v>921</v>
      </c>
      <c r="H15" s="151">
        <f>'Balance Sheet'!H36</f>
        <v>872</v>
      </c>
      <c r="I15" s="151">
        <f>'Balance Sheet'!I36</f>
        <v>1019</v>
      </c>
      <c r="J15" s="164">
        <v>0</v>
      </c>
      <c r="K15" s="152">
        <v>0</v>
      </c>
      <c r="L15" s="152">
        <v>0</v>
      </c>
      <c r="M15" s="152">
        <v>0</v>
      </c>
      <c r="N15" s="152">
        <v>0</v>
      </c>
      <c r="O15" s="152">
        <v>0</v>
      </c>
    </row>
    <row r="16" spans="1:15" x14ac:dyDescent="0.3">
      <c r="A16" s="144"/>
      <c r="B16" s="145" t="s">
        <v>61</v>
      </c>
      <c r="C16" s="151">
        <f>'Balance Sheet'!C39</f>
        <v>202</v>
      </c>
      <c r="D16" s="151">
        <f>'Balance Sheet'!D39</f>
        <v>251</v>
      </c>
      <c r="E16" s="151">
        <f>'Balance Sheet'!E39</f>
        <v>295</v>
      </c>
      <c r="F16" s="151">
        <f>'Balance Sheet'!F39</f>
        <v>495</v>
      </c>
      <c r="G16" s="151">
        <f>'Balance Sheet'!G39</f>
        <v>1057</v>
      </c>
      <c r="H16" s="151">
        <f>'Balance Sheet'!H39</f>
        <v>486</v>
      </c>
      <c r="I16" s="151">
        <f>'Balance Sheet'!I39</f>
        <v>556</v>
      </c>
      <c r="J16" s="164">
        <v>0</v>
      </c>
      <c r="K16" s="152">
        <v>0</v>
      </c>
      <c r="L16" s="152">
        <v>0</v>
      </c>
      <c r="M16" s="152">
        <v>0</v>
      </c>
      <c r="N16" s="152">
        <v>0</v>
      </c>
      <c r="O16" s="152">
        <v>0</v>
      </c>
    </row>
    <row r="17" spans="1:15" x14ac:dyDescent="0.3">
      <c r="A17" s="144"/>
      <c r="B17" s="155" t="s">
        <v>235</v>
      </c>
      <c r="C17" s="156">
        <f t="shared" ref="C17:O17" si="1">SUM(C13:C16)</f>
        <v>1480</v>
      </c>
      <c r="D17" s="156">
        <f t="shared" si="1"/>
        <v>1690</v>
      </c>
      <c r="E17" s="156">
        <f t="shared" si="1"/>
        <v>2132</v>
      </c>
      <c r="F17" s="156">
        <f t="shared" si="1"/>
        <v>2616</v>
      </c>
      <c r="G17" s="156">
        <f t="shared" si="1"/>
        <v>3281</v>
      </c>
      <c r="H17" s="156">
        <f t="shared" si="1"/>
        <v>3000</v>
      </c>
      <c r="I17" s="156">
        <f t="shared" si="1"/>
        <v>3225</v>
      </c>
      <c r="J17" s="163">
        <f t="shared" si="1"/>
        <v>2187.9050400000006</v>
      </c>
      <c r="K17" s="156">
        <f t="shared" si="1"/>
        <v>2334.6347688000005</v>
      </c>
      <c r="L17" s="156">
        <f t="shared" si="1"/>
        <v>2404.4041289100005</v>
      </c>
      <c r="M17" s="156">
        <f t="shared" si="1"/>
        <v>2487.6726398889605</v>
      </c>
      <c r="N17" s="156">
        <f t="shared" si="1"/>
        <v>2538.609943662721</v>
      </c>
      <c r="O17" s="156">
        <f t="shared" si="1"/>
        <v>2656.5421562339047</v>
      </c>
    </row>
    <row r="18" spans="1:15" x14ac:dyDescent="0.3">
      <c r="A18" s="144"/>
      <c r="B18" s="144"/>
      <c r="C18" s="144"/>
      <c r="D18" s="144"/>
      <c r="E18" s="144"/>
      <c r="F18" s="144"/>
      <c r="G18" s="144"/>
      <c r="H18" s="144"/>
      <c r="I18" s="144"/>
      <c r="J18" s="161"/>
      <c r="K18" s="144"/>
      <c r="L18" s="144"/>
      <c r="M18" s="144"/>
      <c r="N18" s="144"/>
      <c r="O18" s="144"/>
    </row>
    <row r="19" spans="1:15" ht="16.2" thickBot="1" x14ac:dyDescent="0.35">
      <c r="A19" s="144"/>
      <c r="B19" s="153" t="s">
        <v>232</v>
      </c>
      <c r="C19" s="154">
        <f t="shared" ref="C19:O19" si="2">C11-C17</f>
        <v>-1127</v>
      </c>
      <c r="D19" s="154">
        <f t="shared" si="2"/>
        <v>-1227</v>
      </c>
      <c r="E19" s="154">
        <f t="shared" si="2"/>
        <v>-1425</v>
      </c>
      <c r="F19" s="154">
        <f t="shared" si="2"/>
        <v>-1883</v>
      </c>
      <c r="G19" s="154">
        <f t="shared" si="2"/>
        <v>-2522</v>
      </c>
      <c r="H19" s="154">
        <f t="shared" si="2"/>
        <v>-2177</v>
      </c>
      <c r="I19" s="154">
        <f t="shared" si="2"/>
        <v>-2199</v>
      </c>
      <c r="J19" s="165">
        <f t="shared" si="2"/>
        <v>-972.40224000000035</v>
      </c>
      <c r="K19" s="154">
        <f t="shared" si="2"/>
        <v>-1015.9984642000004</v>
      </c>
      <c r="L19" s="154">
        <f t="shared" si="2"/>
        <v>-984.66073850600014</v>
      </c>
      <c r="M19" s="154">
        <f t="shared" si="2"/>
        <v>-966.08646209280028</v>
      </c>
      <c r="N19" s="154">
        <f t="shared" si="2"/>
        <v>-888.51348028195252</v>
      </c>
      <c r="O19" s="154">
        <f t="shared" si="2"/>
        <v>-929.78975468186673</v>
      </c>
    </row>
    <row r="20" spans="1:15" ht="16.2" thickBot="1" x14ac:dyDescent="0.35">
      <c r="A20" s="144"/>
      <c r="B20" s="158" t="s">
        <v>236</v>
      </c>
      <c r="C20" s="159"/>
      <c r="D20" s="159">
        <f t="shared" ref="D20:O20" si="3">D19-C19</f>
        <v>-100</v>
      </c>
      <c r="E20" s="159">
        <f t="shared" si="3"/>
        <v>-198</v>
      </c>
      <c r="F20" s="159">
        <f t="shared" si="3"/>
        <v>-458</v>
      </c>
      <c r="G20" s="159">
        <f t="shared" si="3"/>
        <v>-639</v>
      </c>
      <c r="H20" s="159">
        <f t="shared" si="3"/>
        <v>345</v>
      </c>
      <c r="I20" s="159">
        <f t="shared" si="3"/>
        <v>-22</v>
      </c>
      <c r="J20" s="166">
        <f t="shared" si="3"/>
        <v>1226.5977599999997</v>
      </c>
      <c r="K20" s="159">
        <f t="shared" si="3"/>
        <v>-43.596224200000051</v>
      </c>
      <c r="L20" s="159">
        <f t="shared" si="3"/>
        <v>31.337725694000255</v>
      </c>
      <c r="M20" s="159">
        <f t="shared" si="3"/>
        <v>18.574276413199868</v>
      </c>
      <c r="N20" s="159">
        <f t="shared" si="3"/>
        <v>77.57298181084775</v>
      </c>
      <c r="O20" s="159">
        <f t="shared" si="3"/>
        <v>-41.2762743999142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B21F2-BD29-4D02-B05F-0C1F7E7481C4}">
  <dimension ref="B2:J24"/>
  <sheetViews>
    <sheetView showGridLines="0" zoomScale="133" workbookViewId="0"/>
  </sheetViews>
  <sheetFormatPr defaultRowHeight="15.6" x14ac:dyDescent="0.3"/>
  <cols>
    <col min="1" max="1" width="2.5546875" customWidth="1"/>
    <col min="2" max="2" width="24.77734375" bestFit="1" customWidth="1"/>
    <col min="3" max="4" width="13" customWidth="1"/>
    <col min="5" max="5" width="14.77734375" customWidth="1"/>
    <col min="6" max="6" width="5.5546875" customWidth="1"/>
    <col min="7" max="7" width="25.33203125" bestFit="1" customWidth="1"/>
    <col min="8" max="8" width="14.77734375" customWidth="1"/>
    <col min="9" max="9" width="5.5546875" customWidth="1"/>
    <col min="10" max="10" width="14.77734375" customWidth="1"/>
  </cols>
  <sheetData>
    <row r="2" spans="2:10" ht="17.399999999999999" x14ac:dyDescent="0.35">
      <c r="B2" s="39" t="s">
        <v>145</v>
      </c>
    </row>
    <row r="3" spans="2:10" x14ac:dyDescent="0.3">
      <c r="B3" s="40" t="s">
        <v>146</v>
      </c>
    </row>
    <row r="5" spans="2:10" x14ac:dyDescent="0.3">
      <c r="B5" s="70" t="s">
        <v>147</v>
      </c>
      <c r="C5" s="71"/>
      <c r="D5" s="71"/>
      <c r="E5" s="72"/>
      <c r="G5" s="295" t="s">
        <v>148</v>
      </c>
      <c r="H5" s="71"/>
      <c r="I5" s="71"/>
      <c r="J5" s="72"/>
    </row>
    <row r="6" spans="2:10" x14ac:dyDescent="0.3">
      <c r="B6" s="42" t="s">
        <v>149</v>
      </c>
      <c r="E6" s="43">
        <v>4.1309999999999999E-2</v>
      </c>
    </row>
    <row r="7" spans="2:10" x14ac:dyDescent="0.3">
      <c r="B7" s="44" t="s">
        <v>150</v>
      </c>
      <c r="E7" s="45">
        <v>3.4548280000000001E-2</v>
      </c>
      <c r="G7" s="42" t="s">
        <v>149</v>
      </c>
      <c r="H7" s="54"/>
      <c r="I7" s="54"/>
      <c r="J7" s="55">
        <f>E6</f>
        <v>4.1309999999999999E-2</v>
      </c>
    </row>
    <row r="8" spans="2:10" x14ac:dyDescent="0.3">
      <c r="B8" s="44" t="s">
        <v>158</v>
      </c>
      <c r="E8" s="46">
        <v>1.26</v>
      </c>
      <c r="G8" s="44" t="s">
        <v>166</v>
      </c>
      <c r="H8" s="51"/>
      <c r="I8" s="51"/>
      <c r="J8" s="45">
        <v>7.0000000000000001E-3</v>
      </c>
    </row>
    <row r="9" spans="2:10" x14ac:dyDescent="0.3">
      <c r="B9" s="44" t="s">
        <v>151</v>
      </c>
      <c r="E9" s="45">
        <v>0.193</v>
      </c>
      <c r="G9" s="57" t="s">
        <v>155</v>
      </c>
      <c r="H9" s="51"/>
      <c r="I9" s="51"/>
      <c r="J9" s="58">
        <f>J7+J8</f>
        <v>4.8309999999999999E-2</v>
      </c>
    </row>
    <row r="10" spans="2:10" x14ac:dyDescent="0.3">
      <c r="B10" s="44" t="s">
        <v>152</v>
      </c>
      <c r="E10" s="47">
        <f>Control!F11</f>
        <v>469.43</v>
      </c>
      <c r="G10" s="44" t="s">
        <v>151</v>
      </c>
      <c r="H10" s="51"/>
      <c r="I10" s="51"/>
      <c r="J10" s="53">
        <f>E9</f>
        <v>0.193</v>
      </c>
    </row>
    <row r="11" spans="2:10" x14ac:dyDescent="0.3">
      <c r="B11" s="44" t="s">
        <v>153</v>
      </c>
      <c r="E11" s="47">
        <f>Control!F12</f>
        <v>276.55</v>
      </c>
      <c r="G11" s="59" t="s">
        <v>156</v>
      </c>
      <c r="H11" s="60"/>
      <c r="I11" s="60"/>
      <c r="J11" s="61">
        <f>J9*(1-J10)</f>
        <v>3.8986169999999994E-2</v>
      </c>
    </row>
    <row r="12" spans="2:10" x14ac:dyDescent="0.3">
      <c r="B12" s="48" t="s">
        <v>154</v>
      </c>
      <c r="C12" s="49"/>
      <c r="D12" s="49"/>
      <c r="E12" s="50">
        <f>'Balance Sheet'!I43</f>
        <v>5973</v>
      </c>
    </row>
    <row r="13" spans="2:10" x14ac:dyDescent="0.3">
      <c r="G13" s="295" t="s">
        <v>157</v>
      </c>
      <c r="H13" s="71"/>
      <c r="I13" s="71"/>
      <c r="J13" s="296"/>
    </row>
    <row r="15" spans="2:10" x14ac:dyDescent="0.3">
      <c r="G15" s="42" t="s">
        <v>149</v>
      </c>
      <c r="H15" s="54"/>
      <c r="I15" s="54"/>
      <c r="J15" s="55">
        <f>E6</f>
        <v>4.1309999999999999E-2</v>
      </c>
    </row>
    <row r="16" spans="2:10" x14ac:dyDescent="0.3">
      <c r="G16" s="44" t="s">
        <v>150</v>
      </c>
      <c r="H16" s="51"/>
      <c r="I16" s="51"/>
      <c r="J16" s="53">
        <f>E7</f>
        <v>3.4548280000000001E-2</v>
      </c>
    </row>
    <row r="17" spans="2:10" x14ac:dyDescent="0.3">
      <c r="G17" s="44" t="s">
        <v>158</v>
      </c>
      <c r="H17" s="51"/>
      <c r="I17" s="51"/>
      <c r="J17" s="62">
        <f>E8</f>
        <v>1.26</v>
      </c>
    </row>
    <row r="18" spans="2:10" x14ac:dyDescent="0.3">
      <c r="G18" s="59" t="s">
        <v>159</v>
      </c>
      <c r="H18" s="60"/>
      <c r="I18" s="60"/>
      <c r="J18" s="61">
        <f>J15+J17*J16</f>
        <v>8.4840832800000002E-2</v>
      </c>
    </row>
    <row r="21" spans="2:10" x14ac:dyDescent="0.3">
      <c r="B21" s="100" t="s">
        <v>160</v>
      </c>
      <c r="C21" s="109"/>
      <c r="D21" s="109"/>
      <c r="E21" s="109"/>
      <c r="F21" s="109"/>
      <c r="G21" s="109" t="s">
        <v>161</v>
      </c>
      <c r="H21" s="117" t="s">
        <v>162</v>
      </c>
      <c r="I21" s="109"/>
      <c r="J21" s="118" t="s">
        <v>163</v>
      </c>
    </row>
    <row r="22" spans="2:10" x14ac:dyDescent="0.3">
      <c r="B22" s="42" t="s">
        <v>154</v>
      </c>
      <c r="G22" s="63">
        <f>E12</f>
        <v>5973</v>
      </c>
      <c r="H22" s="64">
        <f>G22/(G22+G23)</f>
        <v>4.3985786353612666E-2</v>
      </c>
      <c r="J22" s="55">
        <f>J11</f>
        <v>3.8986169999999994E-2</v>
      </c>
    </row>
    <row r="23" spans="2:10" x14ac:dyDescent="0.3">
      <c r="B23" s="44" t="s">
        <v>164</v>
      </c>
      <c r="G23" s="63">
        <f>E10*E11</f>
        <v>129820.8665</v>
      </c>
      <c r="H23" s="52">
        <f>G23/(G23+G22)</f>
        <v>0.95601421364638739</v>
      </c>
      <c r="J23" s="53">
        <f>J18</f>
        <v>8.4840832800000002E-2</v>
      </c>
    </row>
    <row r="24" spans="2:10" x14ac:dyDescent="0.3">
      <c r="B24" s="66" t="s">
        <v>165</v>
      </c>
      <c r="C24" s="65"/>
      <c r="D24" s="65"/>
      <c r="E24" s="65"/>
      <c r="F24" s="65"/>
      <c r="G24" s="67">
        <f>G23+G22</f>
        <v>135793.8665</v>
      </c>
      <c r="H24" s="68">
        <f>H23+H22</f>
        <v>1</v>
      </c>
      <c r="I24" s="65"/>
      <c r="J24" s="69">
        <f>J22*H22+J23*H23</f>
        <v>8.2823879398762262E-2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CA5E2-BDF6-41F3-A5E5-5610A58D4A86}">
  <dimension ref="B2:W22"/>
  <sheetViews>
    <sheetView showGridLines="0" zoomScale="74" zoomScaleNormal="90" workbookViewId="0"/>
  </sheetViews>
  <sheetFormatPr defaultRowHeight="15.6" x14ac:dyDescent="0.3"/>
  <cols>
    <col min="8" max="8" width="10.33203125" bestFit="1" customWidth="1"/>
    <col min="14" max="14" width="10.33203125" bestFit="1" customWidth="1"/>
  </cols>
  <sheetData>
    <row r="2" spans="2:23" ht="17.399999999999999" x14ac:dyDescent="0.35">
      <c r="B2" s="73" t="s">
        <v>167</v>
      </c>
      <c r="C2" s="74"/>
      <c r="D2" s="74"/>
      <c r="E2" s="75"/>
      <c r="H2" s="298" t="s">
        <v>288</v>
      </c>
      <c r="I2" s="297" t="s">
        <v>144</v>
      </c>
    </row>
    <row r="3" spans="2:23" x14ac:dyDescent="0.3">
      <c r="B3" s="76" t="s">
        <v>168</v>
      </c>
      <c r="C3" s="74"/>
      <c r="D3" s="74"/>
    </row>
    <row r="5" spans="2:23" x14ac:dyDescent="0.3">
      <c r="B5" s="100" t="s">
        <v>169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2" t="s">
        <v>170</v>
      </c>
      <c r="Q5" s="102"/>
      <c r="R5" s="101"/>
      <c r="S5" s="102" t="s">
        <v>171</v>
      </c>
      <c r="T5" s="102"/>
      <c r="U5" s="101"/>
      <c r="V5" s="102" t="s">
        <v>172</v>
      </c>
      <c r="W5" s="72"/>
    </row>
    <row r="6" spans="2:23" x14ac:dyDescent="0.3">
      <c r="B6" s="103" t="s">
        <v>173</v>
      </c>
      <c r="C6" s="104"/>
      <c r="D6" s="104" t="s">
        <v>137</v>
      </c>
      <c r="E6" s="104"/>
      <c r="F6" s="104" t="s">
        <v>174</v>
      </c>
      <c r="G6" s="104"/>
      <c r="H6" s="105" t="s">
        <v>175</v>
      </c>
      <c r="I6" s="104"/>
      <c r="J6" s="104" t="s">
        <v>176</v>
      </c>
      <c r="K6" s="104"/>
      <c r="L6" s="105" t="s">
        <v>177</v>
      </c>
      <c r="M6" s="104"/>
      <c r="N6" s="105" t="s">
        <v>178</v>
      </c>
      <c r="O6" s="104"/>
      <c r="P6" s="106">
        <v>2024</v>
      </c>
      <c r="Q6" s="104">
        <v>2025</v>
      </c>
      <c r="R6" s="104"/>
      <c r="S6" s="106">
        <v>2024</v>
      </c>
      <c r="T6" s="104">
        <v>2025</v>
      </c>
      <c r="U6" s="104"/>
      <c r="V6" s="106">
        <v>2024</v>
      </c>
      <c r="W6" s="107">
        <v>2025</v>
      </c>
    </row>
    <row r="7" spans="2:23" x14ac:dyDescent="0.3">
      <c r="B7" s="77" t="s">
        <v>186</v>
      </c>
      <c r="C7" s="78"/>
      <c r="D7" s="78" t="s">
        <v>187</v>
      </c>
      <c r="E7" s="78"/>
      <c r="F7" s="79">
        <v>147.18</v>
      </c>
      <c r="G7" s="78"/>
      <c r="H7" s="80">
        <v>46190.69</v>
      </c>
      <c r="I7" s="78"/>
      <c r="J7" s="80">
        <v>2987</v>
      </c>
      <c r="K7" s="78"/>
      <c r="L7" s="80">
        <v>1501</v>
      </c>
      <c r="M7" s="78"/>
      <c r="N7" s="80">
        <v>43734.69</v>
      </c>
      <c r="O7" s="78"/>
      <c r="P7" s="81">
        <v>4.2922495856026499</v>
      </c>
      <c r="Q7" s="82">
        <v>3.79526172529313</v>
      </c>
      <c r="R7" s="78"/>
      <c r="S7" s="81">
        <v>14.9002630497328</v>
      </c>
      <c r="T7" s="82">
        <v>10.680662586699301</v>
      </c>
      <c r="U7" s="78"/>
      <c r="V7" s="81">
        <v>20.161643835616399</v>
      </c>
      <c r="W7" s="83">
        <v>15.9458288190683</v>
      </c>
    </row>
    <row r="8" spans="2:23" x14ac:dyDescent="0.3">
      <c r="B8" s="77" t="s">
        <v>188</v>
      </c>
      <c r="C8" s="78"/>
      <c r="D8" s="78" t="s">
        <v>189</v>
      </c>
      <c r="E8" s="78"/>
      <c r="F8" s="79">
        <v>136.66</v>
      </c>
      <c r="G8" s="78"/>
      <c r="H8" s="80">
        <v>8732.9279999999999</v>
      </c>
      <c r="I8" s="78"/>
      <c r="J8" s="80">
        <v>0</v>
      </c>
      <c r="K8" s="78"/>
      <c r="L8" s="80">
        <v>370</v>
      </c>
      <c r="M8" s="78"/>
      <c r="N8" s="80">
        <v>8362.9279999999999</v>
      </c>
      <c r="O8" s="78"/>
      <c r="P8" s="81">
        <v>3.6613159442863199</v>
      </c>
      <c r="Q8" s="82">
        <v>3.3606229888775201</v>
      </c>
      <c r="R8" s="78"/>
      <c r="S8" s="81">
        <v>8.8921720225431997</v>
      </c>
      <c r="T8" s="82">
        <v>7.1622531204125703</v>
      </c>
      <c r="U8" s="78"/>
      <c r="V8" s="81">
        <v>16.6455542021924</v>
      </c>
      <c r="W8" s="84">
        <v>14.7900432900433</v>
      </c>
    </row>
    <row r="9" spans="2:23" x14ac:dyDescent="0.3">
      <c r="B9" s="77" t="s">
        <v>190</v>
      </c>
      <c r="C9" s="78"/>
      <c r="D9" s="78" t="s">
        <v>191</v>
      </c>
      <c r="E9" s="78"/>
      <c r="F9" s="79">
        <v>115.99</v>
      </c>
      <c r="G9" s="78"/>
      <c r="H9" s="80">
        <v>10031.76554</v>
      </c>
      <c r="I9" s="78"/>
      <c r="J9" s="85">
        <v>162.5</v>
      </c>
      <c r="K9" s="78"/>
      <c r="L9" s="80">
        <v>398.07</v>
      </c>
      <c r="M9" s="78"/>
      <c r="N9" s="80">
        <v>9796.1939999999995</v>
      </c>
      <c r="O9" s="78"/>
      <c r="P9" s="81">
        <v>4.3977515428212799</v>
      </c>
      <c r="Q9" s="82">
        <v>3.8664940500908598</v>
      </c>
      <c r="R9" s="78"/>
      <c r="S9" s="81">
        <v>12.2003040329618</v>
      </c>
      <c r="T9" s="82">
        <v>9.7017376265744097</v>
      </c>
      <c r="U9" s="78"/>
      <c r="V9" s="81">
        <v>17.654490106544898</v>
      </c>
      <c r="W9" s="84">
        <v>16.177126917712702</v>
      </c>
    </row>
    <row r="10" spans="2:23" x14ac:dyDescent="0.3">
      <c r="B10" s="77" t="s">
        <v>192</v>
      </c>
      <c r="C10" s="78"/>
      <c r="D10" s="78" t="s">
        <v>193</v>
      </c>
      <c r="E10" s="78"/>
      <c r="F10" s="79">
        <v>834.2</v>
      </c>
      <c r="G10" s="78"/>
      <c r="H10" s="80">
        <v>14244.313525719401</v>
      </c>
      <c r="I10" s="78"/>
      <c r="J10" s="80">
        <v>2061.5460942906002</v>
      </c>
      <c r="K10" s="78"/>
      <c r="L10" s="80">
        <v>337.37012594255299</v>
      </c>
      <c r="M10" s="78"/>
      <c r="N10" s="80">
        <v>15388.647787656799</v>
      </c>
      <c r="O10" s="78"/>
      <c r="P10" s="81">
        <v>4.0784841572483996</v>
      </c>
      <c r="Q10" s="82">
        <v>3.6670476166526198</v>
      </c>
      <c r="R10" s="78"/>
      <c r="S10" s="81">
        <v>15.2910370654393</v>
      </c>
      <c r="T10" s="82">
        <v>13.249863548935901</v>
      </c>
      <c r="U10" s="78"/>
      <c r="V10" s="81">
        <v>23.6426983239493</v>
      </c>
      <c r="W10" s="84">
        <v>20.0683549662233</v>
      </c>
    </row>
    <row r="11" spans="2:23" x14ac:dyDescent="0.3">
      <c r="B11" s="77" t="s">
        <v>194</v>
      </c>
      <c r="C11" s="78"/>
      <c r="D11" s="78" t="s">
        <v>195</v>
      </c>
      <c r="E11" s="78"/>
      <c r="F11" s="79">
        <v>264.12</v>
      </c>
      <c r="G11" s="78"/>
      <c r="H11" s="80">
        <v>53608.44</v>
      </c>
      <c r="I11" s="78"/>
      <c r="J11" s="80">
        <v>2483</v>
      </c>
      <c r="K11" s="78"/>
      <c r="L11" s="80">
        <v>2249</v>
      </c>
      <c r="M11" s="78"/>
      <c r="N11" s="80">
        <v>53494.44</v>
      </c>
      <c r="O11" s="78"/>
      <c r="P11" s="81">
        <v>9.0711662045343502</v>
      </c>
      <c r="Q11" s="82">
        <v>7.7179184013322404</v>
      </c>
      <c r="R11" s="78"/>
      <c r="S11" s="81">
        <v>24.3713058720421</v>
      </c>
      <c r="T11" s="82">
        <v>18.643598281417798</v>
      </c>
      <c r="U11" s="78"/>
      <c r="V11" s="81">
        <v>31.182998819362499</v>
      </c>
      <c r="W11" s="84">
        <v>25.323106423777599</v>
      </c>
    </row>
    <row r="12" spans="2:23" x14ac:dyDescent="0.3">
      <c r="B12" s="77" t="s">
        <v>196</v>
      </c>
      <c r="C12" s="78"/>
      <c r="D12" s="78" t="s">
        <v>197</v>
      </c>
      <c r="E12" s="78"/>
      <c r="F12" s="79">
        <v>365.87</v>
      </c>
      <c r="G12" s="78"/>
      <c r="H12" s="80">
        <v>19532.437125599998</v>
      </c>
      <c r="I12" s="78"/>
      <c r="J12" s="80">
        <v>599.66300000000001</v>
      </c>
      <c r="K12" s="78"/>
      <c r="L12" s="80">
        <v>1015.4</v>
      </c>
      <c r="M12" s="78"/>
      <c r="N12" s="80">
        <v>19034.900130000002</v>
      </c>
      <c r="O12" s="78"/>
      <c r="P12" s="81">
        <v>7.1239068079706103</v>
      </c>
      <c r="Q12" s="82">
        <v>6.52971236860835</v>
      </c>
      <c r="R12" s="78"/>
      <c r="S12" s="81">
        <v>26.821299485042601</v>
      </c>
      <c r="T12" s="82">
        <v>22.6784201832549</v>
      </c>
      <c r="U12" s="78"/>
      <c r="V12" s="81">
        <v>38.310994764397897</v>
      </c>
      <c r="W12" s="84">
        <v>32.349248452696699</v>
      </c>
    </row>
    <row r="13" spans="2:23" x14ac:dyDescent="0.3">
      <c r="B13" s="86" t="s">
        <v>198</v>
      </c>
      <c r="C13" s="87"/>
      <c r="D13" s="87" t="s">
        <v>199</v>
      </c>
      <c r="E13" s="87"/>
      <c r="F13" s="88">
        <v>98.38</v>
      </c>
      <c r="G13" s="87"/>
      <c r="H13" s="89">
        <v>56877.708383879995</v>
      </c>
      <c r="I13" s="87"/>
      <c r="J13" s="89">
        <v>4966.8</v>
      </c>
      <c r="K13" s="87"/>
      <c r="L13" s="89">
        <v>1628.6</v>
      </c>
      <c r="M13" s="87"/>
      <c r="N13" s="89">
        <v>60264.754999999997</v>
      </c>
      <c r="O13" s="87"/>
      <c r="P13" s="90">
        <v>7.3437125080044696</v>
      </c>
      <c r="Q13" s="91">
        <v>6.9570001491465803</v>
      </c>
      <c r="R13" s="87"/>
      <c r="S13" s="90">
        <v>16.228048953780501</v>
      </c>
      <c r="T13" s="91">
        <v>14.5945824903529</v>
      </c>
      <c r="U13" s="87"/>
      <c r="V13" s="90">
        <v>20.843220338983102</v>
      </c>
      <c r="W13" s="92">
        <v>19.755020080321302</v>
      </c>
    </row>
    <row r="14" spans="2:23" x14ac:dyDescent="0.3"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</row>
    <row r="15" spans="2:23" x14ac:dyDescent="0.3">
      <c r="B15" s="108" t="s">
        <v>143</v>
      </c>
      <c r="C15" s="109"/>
      <c r="D15" s="109" t="s">
        <v>185</v>
      </c>
      <c r="E15" s="109"/>
      <c r="F15" s="110">
        <v>466.79</v>
      </c>
      <c r="G15" s="109"/>
      <c r="H15" s="111">
        <v>219152.55176999999</v>
      </c>
      <c r="I15" s="109"/>
      <c r="J15" s="111">
        <v>5973</v>
      </c>
      <c r="K15" s="109"/>
      <c r="L15" s="111">
        <v>2884</v>
      </c>
      <c r="M15" s="109"/>
      <c r="N15" s="111">
        <v>220430.658</v>
      </c>
      <c r="O15" s="109"/>
      <c r="P15" s="112">
        <v>8.1225529321461494</v>
      </c>
      <c r="Q15" s="113">
        <v>7.0243627263554798</v>
      </c>
      <c r="R15" s="114"/>
      <c r="S15" s="115">
        <v>19.719107707215301</v>
      </c>
      <c r="T15" s="113">
        <v>15.0183686079545</v>
      </c>
      <c r="U15" s="109"/>
      <c r="V15" s="115">
        <v>27.5554899645809</v>
      </c>
      <c r="W15" s="116">
        <v>23.165756823821301</v>
      </c>
    </row>
    <row r="17" spans="2:23" x14ac:dyDescent="0.3">
      <c r="B17" s="109" t="s">
        <v>179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</row>
    <row r="18" spans="2:23" x14ac:dyDescent="0.3">
      <c r="B18" s="77" t="s">
        <v>180</v>
      </c>
      <c r="C18" s="78"/>
      <c r="D18" s="78"/>
      <c r="E18" s="78"/>
      <c r="F18" s="79">
        <f>PERCENTILE((F7:F13),10%)</f>
        <v>108.946</v>
      </c>
      <c r="G18" s="78"/>
      <c r="H18" s="80">
        <f t="shared" ref="H18:W18" si="0">PERCENTILE((H7:H13),10%)</f>
        <v>9512.2305240000005</v>
      </c>
      <c r="I18" s="78"/>
      <c r="J18" s="80">
        <f t="shared" si="0"/>
        <v>97.500000000000014</v>
      </c>
      <c r="K18" s="78"/>
      <c r="L18" s="80">
        <f t="shared" si="0"/>
        <v>356.94805037702122</v>
      </c>
      <c r="M18" s="78"/>
      <c r="N18" s="80">
        <f t="shared" si="0"/>
        <v>9222.8876</v>
      </c>
      <c r="O18" s="78"/>
      <c r="P18" s="93">
        <f t="shared" si="0"/>
        <v>3.9116168720635676</v>
      </c>
      <c r="Q18" s="93">
        <f t="shared" si="0"/>
        <v>3.5444777655425801</v>
      </c>
      <c r="R18" s="94"/>
      <c r="S18" s="93">
        <f t="shared" si="0"/>
        <v>10.877051228794359</v>
      </c>
      <c r="T18" s="93">
        <f t="shared" si="0"/>
        <v>8.6859438241096747</v>
      </c>
      <c r="U18" s="94"/>
      <c r="V18" s="93">
        <f t="shared" si="0"/>
        <v>17.250915744803898</v>
      </c>
      <c r="W18" s="95">
        <f t="shared" si="0"/>
        <v>15.4835146074583</v>
      </c>
    </row>
    <row r="19" spans="2:23" x14ac:dyDescent="0.3">
      <c r="B19" s="77" t="s">
        <v>181</v>
      </c>
      <c r="C19" s="78"/>
      <c r="D19" s="78"/>
      <c r="E19" s="78"/>
      <c r="F19" s="79">
        <f>_xlfn.QUARTILE.EXC(F$7:F$13,1)</f>
        <v>115.99</v>
      </c>
      <c r="G19" s="78"/>
      <c r="H19" s="80">
        <f t="shared" ref="H19:W19" si="1">_xlfn.QUARTILE.EXC(H$7:H$13,1)</f>
        <v>10031.76554</v>
      </c>
      <c r="I19" s="78"/>
      <c r="J19" s="80">
        <f t="shared" si="1"/>
        <v>162.5</v>
      </c>
      <c r="K19" s="78"/>
      <c r="L19" s="80">
        <f t="shared" si="1"/>
        <v>370</v>
      </c>
      <c r="M19" s="78"/>
      <c r="N19" s="80">
        <f t="shared" si="1"/>
        <v>9796.1939999999995</v>
      </c>
      <c r="O19" s="78"/>
      <c r="P19" s="93">
        <f t="shared" si="1"/>
        <v>4.0784841572483996</v>
      </c>
      <c r="Q19" s="93">
        <f t="shared" si="1"/>
        <v>3.6670476166526198</v>
      </c>
      <c r="R19" s="94"/>
      <c r="S19" s="93">
        <f t="shared" si="1"/>
        <v>12.2003040329618</v>
      </c>
      <c r="T19" s="93">
        <f t="shared" si="1"/>
        <v>9.7017376265744097</v>
      </c>
      <c r="U19" s="94"/>
      <c r="V19" s="93">
        <f t="shared" si="1"/>
        <v>17.654490106544898</v>
      </c>
      <c r="W19" s="95">
        <f t="shared" si="1"/>
        <v>15.9458288190683</v>
      </c>
    </row>
    <row r="20" spans="2:23" x14ac:dyDescent="0.3">
      <c r="B20" s="77" t="s">
        <v>182</v>
      </c>
      <c r="C20" s="78"/>
      <c r="D20" s="78"/>
      <c r="E20" s="78"/>
      <c r="F20" s="79">
        <f>+AVERAGE(F7:F13)</f>
        <v>280.34285714285716</v>
      </c>
      <c r="G20" s="79"/>
      <c r="H20" s="80">
        <f t="shared" ref="H20:W20" si="2">+AVERAGE(H7:H13)</f>
        <v>29888.326082171345</v>
      </c>
      <c r="I20" s="79"/>
      <c r="J20" s="80">
        <f t="shared" si="2"/>
        <v>1894.3584420415141</v>
      </c>
      <c r="K20" s="79"/>
      <c r="L20" s="80">
        <f t="shared" si="2"/>
        <v>1071.3485894203645</v>
      </c>
      <c r="M20" s="79"/>
      <c r="N20" s="80">
        <f t="shared" si="2"/>
        <v>30010.936416808116</v>
      </c>
      <c r="O20" s="79"/>
      <c r="P20" s="93">
        <f t="shared" si="2"/>
        <v>5.7097981072097266</v>
      </c>
      <c r="Q20" s="93">
        <f t="shared" si="2"/>
        <v>5.1277224714287586</v>
      </c>
      <c r="R20" s="96"/>
      <c r="S20" s="93">
        <f t="shared" si="2"/>
        <v>16.957775783077473</v>
      </c>
      <c r="T20" s="93">
        <f t="shared" si="2"/>
        <v>13.815873976806827</v>
      </c>
      <c r="U20" s="96"/>
      <c r="V20" s="93">
        <f t="shared" si="2"/>
        <v>24.063085770149502</v>
      </c>
      <c r="W20" s="95">
        <f t="shared" si="2"/>
        <v>20.629818421406174</v>
      </c>
    </row>
    <row r="21" spans="2:23" x14ac:dyDescent="0.3">
      <c r="B21" s="77" t="s">
        <v>183</v>
      </c>
      <c r="C21" s="78"/>
      <c r="D21" s="78"/>
      <c r="E21" s="78"/>
      <c r="F21" s="79">
        <f>+_xlfn.QUARTILE.EXC(F$7:F$13,2)</f>
        <v>147.18</v>
      </c>
      <c r="G21" s="78"/>
      <c r="H21" s="80">
        <f t="shared" ref="H21:W21" si="3">+_xlfn.QUARTILE.EXC(H$7:H$13,2)</f>
        <v>19532.437125599998</v>
      </c>
      <c r="I21" s="78"/>
      <c r="J21" s="80">
        <f t="shared" si="3"/>
        <v>2061.5460942906002</v>
      </c>
      <c r="K21" s="78"/>
      <c r="L21" s="80">
        <f t="shared" si="3"/>
        <v>1015.4</v>
      </c>
      <c r="M21" s="78"/>
      <c r="N21" s="80">
        <f t="shared" si="3"/>
        <v>19034.900130000002</v>
      </c>
      <c r="O21" s="78"/>
      <c r="P21" s="93">
        <f t="shared" si="3"/>
        <v>4.3977515428212799</v>
      </c>
      <c r="Q21" s="93">
        <f t="shared" si="3"/>
        <v>3.8664940500908598</v>
      </c>
      <c r="R21" s="94"/>
      <c r="S21" s="93">
        <f t="shared" si="3"/>
        <v>15.2910370654393</v>
      </c>
      <c r="T21" s="93">
        <f t="shared" si="3"/>
        <v>13.249863548935901</v>
      </c>
      <c r="U21" s="94"/>
      <c r="V21" s="93">
        <f t="shared" si="3"/>
        <v>20.843220338983102</v>
      </c>
      <c r="W21" s="95">
        <f t="shared" si="3"/>
        <v>19.755020080321302</v>
      </c>
    </row>
    <row r="22" spans="2:23" x14ac:dyDescent="0.3">
      <c r="B22" s="86" t="s">
        <v>184</v>
      </c>
      <c r="C22" s="87"/>
      <c r="D22" s="87"/>
      <c r="E22" s="87"/>
      <c r="F22" s="88">
        <f>+_xlfn.QUARTILE.EXC(F$7:F$13,3)</f>
        <v>365.87</v>
      </c>
      <c r="G22" s="87"/>
      <c r="H22" s="89">
        <f t="shared" ref="H22:W22" si="4">+_xlfn.QUARTILE.EXC(H$7:H$13,3)</f>
        <v>53608.44</v>
      </c>
      <c r="I22" s="87"/>
      <c r="J22" s="89">
        <f t="shared" si="4"/>
        <v>2987</v>
      </c>
      <c r="K22" s="87"/>
      <c r="L22" s="89">
        <f t="shared" si="4"/>
        <v>1628.6</v>
      </c>
      <c r="M22" s="87"/>
      <c r="N22" s="89">
        <f t="shared" si="4"/>
        <v>53494.44</v>
      </c>
      <c r="O22" s="87"/>
      <c r="P22" s="97">
        <f t="shared" si="4"/>
        <v>7.3437125080044696</v>
      </c>
      <c r="Q22" s="97">
        <f t="shared" si="4"/>
        <v>6.9570001491465803</v>
      </c>
      <c r="R22" s="98"/>
      <c r="S22" s="97">
        <f t="shared" si="4"/>
        <v>24.3713058720421</v>
      </c>
      <c r="T22" s="97">
        <f t="shared" si="4"/>
        <v>18.643598281417798</v>
      </c>
      <c r="U22" s="98"/>
      <c r="V22" s="97">
        <f t="shared" si="4"/>
        <v>31.182998819362499</v>
      </c>
      <c r="W22" s="99">
        <f t="shared" si="4"/>
        <v>25.323106423777599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8360B-AA62-45C7-93C8-95D6EBBDA38F}">
  <dimension ref="B2:I45"/>
  <sheetViews>
    <sheetView showGridLines="0" workbookViewId="0"/>
  </sheetViews>
  <sheetFormatPr defaultRowHeight="15.6" x14ac:dyDescent="0.3"/>
  <cols>
    <col min="1" max="1" width="2.5546875" customWidth="1"/>
    <col min="2" max="2" width="63" customWidth="1"/>
    <col min="3" max="9" width="21.33203125" customWidth="1"/>
  </cols>
  <sheetData>
    <row r="2" spans="2:9" ht="17.399999999999999" x14ac:dyDescent="0.35">
      <c r="B2" s="1" t="s">
        <v>0</v>
      </c>
    </row>
    <row r="3" spans="2:9" x14ac:dyDescent="0.3">
      <c r="B3" s="3" t="s">
        <v>1</v>
      </c>
    </row>
    <row r="4" spans="2:9" x14ac:dyDescent="0.3">
      <c r="B4" s="4" t="s">
        <v>2</v>
      </c>
    </row>
    <row r="6" spans="2:9" x14ac:dyDescent="0.3">
      <c r="C6" s="22" t="s">
        <v>3</v>
      </c>
      <c r="D6" s="23"/>
      <c r="E6" s="23"/>
      <c r="F6" s="23"/>
      <c r="G6" s="23"/>
      <c r="H6" s="23"/>
      <c r="I6" s="23"/>
    </row>
    <row r="7" spans="2:9" x14ac:dyDescent="0.3">
      <c r="B7" s="24"/>
      <c r="C7" s="25">
        <v>2019</v>
      </c>
      <c r="D7" s="25">
        <v>2020</v>
      </c>
      <c r="E7" s="25">
        <v>2021</v>
      </c>
      <c r="F7" s="25">
        <v>2022</v>
      </c>
      <c r="G7" s="25">
        <v>2023</v>
      </c>
      <c r="H7" s="25">
        <v>2024</v>
      </c>
      <c r="I7" s="25">
        <v>2025</v>
      </c>
    </row>
    <row r="8" spans="2:9" x14ac:dyDescent="0.3">
      <c r="B8" s="6"/>
      <c r="C8" s="5"/>
      <c r="D8" s="5"/>
      <c r="E8" s="5"/>
      <c r="F8" s="5"/>
      <c r="G8" s="5"/>
      <c r="H8" s="5"/>
      <c r="I8" s="5"/>
    </row>
    <row r="9" spans="2:9" x14ac:dyDescent="0.3">
      <c r="B9" s="20" t="s">
        <v>130</v>
      </c>
      <c r="C9" s="21">
        <v>1623</v>
      </c>
      <c r="D9" s="21">
        <v>1635</v>
      </c>
      <c r="E9" s="21">
        <v>1698</v>
      </c>
      <c r="F9" s="21">
        <v>1747</v>
      </c>
      <c r="G9" s="21">
        <v>1970</v>
      </c>
      <c r="H9" s="21">
        <v>13861</v>
      </c>
      <c r="I9" s="21">
        <v>16400</v>
      </c>
    </row>
    <row r="10" spans="2:9" x14ac:dyDescent="0.3">
      <c r="B10" s="20" t="s">
        <v>131</v>
      </c>
      <c r="C10" s="21">
        <v>5161</v>
      </c>
      <c r="D10" s="21">
        <v>6044</v>
      </c>
      <c r="E10" s="21">
        <v>7935</v>
      </c>
      <c r="F10" s="21">
        <v>10979</v>
      </c>
      <c r="G10" s="21">
        <v>12398</v>
      </c>
      <c r="H10" s="21">
        <v>2424</v>
      </c>
      <c r="I10" s="21">
        <v>2431</v>
      </c>
    </row>
    <row r="11" spans="2:9" ht="16.2" thickBot="1" x14ac:dyDescent="0.35">
      <c r="B11" s="18" t="s">
        <v>4</v>
      </c>
      <c r="C11" s="19">
        <f t="shared" ref="C11:I11" si="0">SUM(C9:C10)</f>
        <v>6784</v>
      </c>
      <c r="D11" s="19">
        <f t="shared" si="0"/>
        <v>7679</v>
      </c>
      <c r="E11" s="19">
        <f t="shared" si="0"/>
        <v>9633</v>
      </c>
      <c r="F11" s="19">
        <f t="shared" si="0"/>
        <v>12726</v>
      </c>
      <c r="G11" s="19">
        <f t="shared" si="0"/>
        <v>14368</v>
      </c>
      <c r="H11" s="19">
        <f t="shared" si="0"/>
        <v>16285</v>
      </c>
      <c r="I11" s="19">
        <f t="shared" si="0"/>
        <v>18831</v>
      </c>
    </row>
    <row r="12" spans="2:9" x14ac:dyDescent="0.3">
      <c r="B12" s="2" t="s">
        <v>5</v>
      </c>
      <c r="C12" s="8">
        <v>1147</v>
      </c>
      <c r="D12" s="8">
        <v>1356</v>
      </c>
      <c r="E12" s="8">
        <v>1633</v>
      </c>
      <c r="F12" s="8">
        <v>2266</v>
      </c>
      <c r="G12" s="8">
        <v>2980</v>
      </c>
      <c r="H12" s="8">
        <v>3319</v>
      </c>
      <c r="I12" s="8">
        <v>3692</v>
      </c>
    </row>
    <row r="13" spans="2:9" ht="16.2" thickBot="1" x14ac:dyDescent="0.35">
      <c r="B13" s="7" t="s">
        <v>6</v>
      </c>
      <c r="C13" s="9">
        <f t="shared" ref="C13:I13" si="1">C11-C12</f>
        <v>5637</v>
      </c>
      <c r="D13" s="9">
        <f t="shared" si="1"/>
        <v>6323</v>
      </c>
      <c r="E13" s="9">
        <f t="shared" si="1"/>
        <v>8000</v>
      </c>
      <c r="F13" s="9">
        <f t="shared" si="1"/>
        <v>10460</v>
      </c>
      <c r="G13" s="9">
        <f t="shared" si="1"/>
        <v>11388</v>
      </c>
      <c r="H13" s="9">
        <f t="shared" si="1"/>
        <v>12966</v>
      </c>
      <c r="I13" s="9">
        <f t="shared" si="1"/>
        <v>15139</v>
      </c>
    </row>
    <row r="15" spans="2:9" x14ac:dyDescent="0.3">
      <c r="B15" s="3" t="s">
        <v>7</v>
      </c>
    </row>
    <row r="16" spans="2:9" x14ac:dyDescent="0.3">
      <c r="B16" s="2" t="s">
        <v>8</v>
      </c>
      <c r="C16" s="8">
        <v>1927</v>
      </c>
      <c r="D16" s="8">
        <v>2048</v>
      </c>
      <c r="E16" s="8">
        <v>2644</v>
      </c>
      <c r="F16" s="8">
        <v>3526</v>
      </c>
      <c r="G16" s="8">
        <v>3762</v>
      </c>
      <c r="H16" s="8">
        <v>4312</v>
      </c>
      <c r="I16" s="8">
        <v>5035</v>
      </c>
    </row>
    <row r="17" spans="2:9" x14ac:dyDescent="0.3">
      <c r="B17" s="2" t="s">
        <v>9</v>
      </c>
      <c r="C17" s="8">
        <v>1233</v>
      </c>
      <c r="D17" s="8">
        <v>1392</v>
      </c>
      <c r="E17" s="8">
        <v>1678</v>
      </c>
      <c r="F17" s="8">
        <v>2347</v>
      </c>
      <c r="G17" s="8">
        <v>2539</v>
      </c>
      <c r="H17" s="8">
        <v>2754</v>
      </c>
      <c r="I17" s="8">
        <v>2928</v>
      </c>
    </row>
    <row r="18" spans="2:9" x14ac:dyDescent="0.3">
      <c r="B18" s="2" t="s">
        <v>10</v>
      </c>
      <c r="C18" s="8">
        <v>597</v>
      </c>
      <c r="D18" s="8">
        <v>679</v>
      </c>
      <c r="E18" s="8">
        <v>982</v>
      </c>
      <c r="F18" s="8">
        <v>1460</v>
      </c>
      <c r="G18" s="8">
        <v>1300</v>
      </c>
      <c r="H18" s="8">
        <v>1418</v>
      </c>
      <c r="I18" s="8">
        <v>1601</v>
      </c>
    </row>
    <row r="19" spans="2:9" x14ac:dyDescent="0.3">
      <c r="B19" s="2" t="s">
        <v>11</v>
      </c>
      <c r="C19" s="8">
        <v>26</v>
      </c>
      <c r="D19" s="8">
        <v>28</v>
      </c>
      <c r="E19" s="8">
        <v>196</v>
      </c>
      <c r="F19" s="8">
        <v>556</v>
      </c>
      <c r="G19" s="8">
        <v>646</v>
      </c>
      <c r="H19" s="8">
        <v>629</v>
      </c>
      <c r="I19" s="8">
        <v>637</v>
      </c>
    </row>
    <row r="20" spans="2:9" x14ac:dyDescent="0.3">
      <c r="B20" s="2" t="s">
        <v>12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223</v>
      </c>
      <c r="I20" s="8">
        <v>15</v>
      </c>
    </row>
    <row r="21" spans="2:9" ht="16.2" thickBot="1" x14ac:dyDescent="0.35">
      <c r="B21" s="10" t="s">
        <v>13</v>
      </c>
      <c r="C21" s="11">
        <f t="shared" ref="C21:I21" si="2">SUM(C16:C20)</f>
        <v>3783</v>
      </c>
      <c r="D21" s="11">
        <f t="shared" si="2"/>
        <v>4147</v>
      </c>
      <c r="E21" s="11">
        <f t="shared" si="2"/>
        <v>5500</v>
      </c>
      <c r="F21" s="11">
        <f t="shared" si="2"/>
        <v>7889</v>
      </c>
      <c r="G21" s="11">
        <f t="shared" si="2"/>
        <v>8247</v>
      </c>
      <c r="H21" s="11">
        <f t="shared" si="2"/>
        <v>9336</v>
      </c>
      <c r="I21" s="11">
        <f t="shared" si="2"/>
        <v>10216</v>
      </c>
    </row>
    <row r="23" spans="2:9" ht="16.2" thickBot="1" x14ac:dyDescent="0.35">
      <c r="B23" s="10" t="s">
        <v>14</v>
      </c>
      <c r="C23" s="11">
        <f t="shared" ref="C23:I23" si="3">C13-C21</f>
        <v>1854</v>
      </c>
      <c r="D23" s="11">
        <f t="shared" si="3"/>
        <v>2176</v>
      </c>
      <c r="E23" s="11">
        <f t="shared" si="3"/>
        <v>2500</v>
      </c>
      <c r="F23" s="11">
        <f t="shared" si="3"/>
        <v>2571</v>
      </c>
      <c r="G23" s="11">
        <f t="shared" si="3"/>
        <v>3141</v>
      </c>
      <c r="H23" s="11">
        <f t="shared" si="3"/>
        <v>3630</v>
      </c>
      <c r="I23" s="11">
        <f t="shared" si="3"/>
        <v>4923</v>
      </c>
    </row>
    <row r="25" spans="2:9" x14ac:dyDescent="0.3">
      <c r="B25" s="3" t="s">
        <v>15</v>
      </c>
    </row>
    <row r="26" spans="2:9" x14ac:dyDescent="0.3">
      <c r="B26" s="2" t="s">
        <v>16</v>
      </c>
      <c r="C26" s="8">
        <v>-15</v>
      </c>
      <c r="D26" s="8">
        <v>-14</v>
      </c>
      <c r="E26" s="8">
        <v>-29</v>
      </c>
      <c r="F26" s="8">
        <v>-81</v>
      </c>
      <c r="G26" s="8">
        <v>-248</v>
      </c>
      <c r="H26" s="8">
        <v>-242</v>
      </c>
      <c r="I26" s="8">
        <v>-247</v>
      </c>
    </row>
    <row r="27" spans="2:9" x14ac:dyDescent="0.3">
      <c r="B27" s="2" t="s">
        <v>17</v>
      </c>
      <c r="C27" s="8">
        <v>42</v>
      </c>
      <c r="D27" s="8">
        <v>36</v>
      </c>
      <c r="E27" s="8">
        <v>85</v>
      </c>
      <c r="F27" s="8">
        <v>52</v>
      </c>
      <c r="G27" s="8">
        <v>96</v>
      </c>
      <c r="H27" s="8">
        <v>162</v>
      </c>
      <c r="I27" s="8">
        <v>158</v>
      </c>
    </row>
    <row r="28" spans="2:9" ht="16.2" thickBot="1" x14ac:dyDescent="0.35">
      <c r="B28" s="10" t="s">
        <v>18</v>
      </c>
      <c r="C28" s="11">
        <f t="shared" ref="C28:I28" si="4">C26+C27</f>
        <v>27</v>
      </c>
      <c r="D28" s="11">
        <f t="shared" si="4"/>
        <v>22</v>
      </c>
      <c r="E28" s="11">
        <f t="shared" si="4"/>
        <v>56</v>
      </c>
      <c r="F28" s="11">
        <f t="shared" si="4"/>
        <v>-29</v>
      </c>
      <c r="G28" s="11">
        <f t="shared" si="4"/>
        <v>-152</v>
      </c>
      <c r="H28" s="11">
        <f t="shared" si="4"/>
        <v>-80</v>
      </c>
      <c r="I28" s="11">
        <f t="shared" si="4"/>
        <v>-89</v>
      </c>
    </row>
    <row r="30" spans="2:9" ht="16.2" thickBot="1" x14ac:dyDescent="0.35">
      <c r="B30" s="10" t="s">
        <v>19</v>
      </c>
      <c r="C30" s="11">
        <f t="shared" ref="C30:I30" si="5">C23+C28</f>
        <v>1881</v>
      </c>
      <c r="D30" s="11">
        <f t="shared" si="5"/>
        <v>2198</v>
      </c>
      <c r="E30" s="11">
        <f t="shared" si="5"/>
        <v>2556</v>
      </c>
      <c r="F30" s="11">
        <f t="shared" si="5"/>
        <v>2542</v>
      </c>
      <c r="G30" s="11">
        <f t="shared" si="5"/>
        <v>2989</v>
      </c>
      <c r="H30" s="11">
        <f t="shared" si="5"/>
        <v>3550</v>
      </c>
      <c r="I30" s="11">
        <f t="shared" si="5"/>
        <v>4834</v>
      </c>
    </row>
    <row r="31" spans="2:9" x14ac:dyDescent="0.3">
      <c r="B31" s="2" t="s">
        <v>20</v>
      </c>
      <c r="C31" s="8">
        <v>324</v>
      </c>
      <c r="D31" s="8">
        <v>372</v>
      </c>
      <c r="E31" s="8">
        <v>494</v>
      </c>
      <c r="F31" s="8">
        <v>476</v>
      </c>
      <c r="G31" s="8">
        <v>605</v>
      </c>
      <c r="H31" s="8">
        <v>587</v>
      </c>
      <c r="I31" s="8">
        <v>965</v>
      </c>
    </row>
    <row r="32" spans="2:9" ht="16.2" thickBot="1" x14ac:dyDescent="0.35">
      <c r="B32" s="10" t="s">
        <v>21</v>
      </c>
      <c r="C32" s="11">
        <f t="shared" ref="C32:I32" si="6">C30-C31</f>
        <v>1557</v>
      </c>
      <c r="D32" s="11">
        <f t="shared" si="6"/>
        <v>1826</v>
      </c>
      <c r="E32" s="11">
        <f t="shared" si="6"/>
        <v>2062</v>
      </c>
      <c r="F32" s="11">
        <f t="shared" si="6"/>
        <v>2066</v>
      </c>
      <c r="G32" s="11">
        <f t="shared" si="6"/>
        <v>2384</v>
      </c>
      <c r="H32" s="11">
        <f t="shared" si="6"/>
        <v>2963</v>
      </c>
      <c r="I32" s="11">
        <f t="shared" si="6"/>
        <v>3869</v>
      </c>
    </row>
    <row r="34" spans="2:9" x14ac:dyDescent="0.3">
      <c r="B34" s="3" t="s">
        <v>22</v>
      </c>
    </row>
    <row r="35" spans="2:9" x14ac:dyDescent="0.3">
      <c r="B35" s="2" t="s">
        <v>23</v>
      </c>
      <c r="C35" s="12">
        <v>5.99</v>
      </c>
      <c r="D35" s="12">
        <v>6.99</v>
      </c>
      <c r="E35" s="12">
        <v>7.65</v>
      </c>
      <c r="F35" s="12">
        <v>7.38</v>
      </c>
      <c r="G35" s="12">
        <v>8.49</v>
      </c>
      <c r="H35" s="12">
        <v>10.58</v>
      </c>
      <c r="I35" s="12">
        <v>13.82</v>
      </c>
    </row>
    <row r="36" spans="2:9" x14ac:dyDescent="0.3">
      <c r="B36" s="2" t="s">
        <v>24</v>
      </c>
      <c r="C36" s="12">
        <v>5.89</v>
      </c>
      <c r="D36" s="12">
        <v>6.92</v>
      </c>
      <c r="E36" s="12">
        <v>7.56</v>
      </c>
      <c r="F36" s="12">
        <v>7.28</v>
      </c>
      <c r="G36" s="12">
        <v>8.42</v>
      </c>
      <c r="H36" s="12">
        <v>10.43</v>
      </c>
      <c r="I36" s="12">
        <v>13.67</v>
      </c>
    </row>
    <row r="38" spans="2:9" x14ac:dyDescent="0.3">
      <c r="B38" s="3" t="s">
        <v>25</v>
      </c>
    </row>
    <row r="39" spans="2:9" x14ac:dyDescent="0.3">
      <c r="B39" s="2" t="s">
        <v>26</v>
      </c>
      <c r="C39" s="13">
        <v>260</v>
      </c>
      <c r="D39" s="13">
        <v>261</v>
      </c>
      <c r="E39" s="13">
        <v>270</v>
      </c>
      <c r="F39" s="13">
        <v>280</v>
      </c>
      <c r="G39" s="13">
        <v>281</v>
      </c>
      <c r="H39" s="13">
        <v>280</v>
      </c>
      <c r="I39" s="13">
        <v>280</v>
      </c>
    </row>
    <row r="40" spans="2:9" x14ac:dyDescent="0.3">
      <c r="B40" s="2" t="s">
        <v>27</v>
      </c>
      <c r="C40" s="13">
        <v>264</v>
      </c>
      <c r="D40" s="13">
        <v>264</v>
      </c>
      <c r="E40" s="13">
        <v>273</v>
      </c>
      <c r="F40" s="13">
        <v>284</v>
      </c>
      <c r="G40" s="13">
        <v>283</v>
      </c>
      <c r="H40" s="13">
        <v>284</v>
      </c>
      <c r="I40" s="13">
        <v>283</v>
      </c>
    </row>
    <row r="42" spans="2:9" x14ac:dyDescent="0.3">
      <c r="B42" s="3" t="s">
        <v>28</v>
      </c>
    </row>
    <row r="43" spans="2:9" x14ac:dyDescent="0.3">
      <c r="B43" s="2" t="s">
        <v>29</v>
      </c>
      <c r="C43" s="8">
        <v>225</v>
      </c>
      <c r="D43" s="8">
        <v>218</v>
      </c>
      <c r="E43" s="8">
        <v>363</v>
      </c>
      <c r="F43" s="8">
        <v>746</v>
      </c>
      <c r="G43" s="8">
        <v>806</v>
      </c>
      <c r="H43" s="8">
        <v>789</v>
      </c>
      <c r="I43" s="8">
        <v>809</v>
      </c>
    </row>
    <row r="44" spans="2:9" x14ac:dyDescent="0.3">
      <c r="B44" s="2" t="s">
        <v>30</v>
      </c>
      <c r="C44" s="8">
        <v>401</v>
      </c>
      <c r="D44" s="8">
        <v>435</v>
      </c>
      <c r="E44" s="8">
        <v>753</v>
      </c>
      <c r="F44" s="8">
        <v>1308</v>
      </c>
      <c r="G44" s="8">
        <v>1712</v>
      </c>
      <c r="H44" s="8">
        <v>1940</v>
      </c>
      <c r="I44" s="8">
        <v>1968</v>
      </c>
    </row>
    <row r="45" spans="2:9" ht="16.2" thickBot="1" x14ac:dyDescent="0.35">
      <c r="B45" s="10" t="s">
        <v>31</v>
      </c>
      <c r="C45" s="11">
        <f t="shared" ref="C45:I45" si="7">C23+C43</f>
        <v>2079</v>
      </c>
      <c r="D45" s="11">
        <f t="shared" si="7"/>
        <v>2394</v>
      </c>
      <c r="E45" s="11">
        <f t="shared" si="7"/>
        <v>2863</v>
      </c>
      <c r="F45" s="11">
        <f t="shared" si="7"/>
        <v>3317</v>
      </c>
      <c r="G45" s="11">
        <f t="shared" si="7"/>
        <v>3947</v>
      </c>
      <c r="H45" s="11">
        <f t="shared" si="7"/>
        <v>4419</v>
      </c>
      <c r="I45" s="11">
        <f t="shared" si="7"/>
        <v>5732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C69B2-1326-4D25-A1B0-B484099F8321}">
  <dimension ref="B2:I60"/>
  <sheetViews>
    <sheetView showGridLines="0" zoomScale="58" workbookViewId="0"/>
  </sheetViews>
  <sheetFormatPr defaultRowHeight="15.6" x14ac:dyDescent="0.3"/>
  <cols>
    <col min="1" max="1" width="2.5546875" customWidth="1"/>
    <col min="2" max="2" width="63" customWidth="1"/>
    <col min="3" max="9" width="21.33203125" customWidth="1"/>
  </cols>
  <sheetData>
    <row r="2" spans="2:9" ht="17.399999999999999" x14ac:dyDescent="0.35">
      <c r="B2" s="1" t="s">
        <v>0</v>
      </c>
    </row>
    <row r="3" spans="2:9" x14ac:dyDescent="0.3">
      <c r="B3" s="3" t="s">
        <v>32</v>
      </c>
    </row>
    <row r="4" spans="2:9" x14ac:dyDescent="0.3">
      <c r="B4" s="4" t="s">
        <v>2</v>
      </c>
    </row>
    <row r="6" spans="2:9" x14ac:dyDescent="0.3">
      <c r="C6" s="26" t="s">
        <v>3</v>
      </c>
      <c r="D6" s="23"/>
      <c r="E6" s="23"/>
      <c r="F6" s="23"/>
      <c r="G6" s="23"/>
      <c r="H6" s="23"/>
      <c r="I6" s="23"/>
    </row>
    <row r="7" spans="2:9" x14ac:dyDescent="0.3">
      <c r="B7" s="24"/>
      <c r="C7" s="25">
        <v>2019</v>
      </c>
      <c r="D7" s="25">
        <v>2020</v>
      </c>
      <c r="E7" s="25">
        <v>2021</v>
      </c>
      <c r="F7" s="25">
        <v>2022</v>
      </c>
      <c r="G7" s="25">
        <v>2023</v>
      </c>
      <c r="H7" s="25">
        <v>2024</v>
      </c>
      <c r="I7" s="25">
        <v>2025</v>
      </c>
    </row>
    <row r="8" spans="2:9" x14ac:dyDescent="0.3">
      <c r="B8" s="3" t="s">
        <v>33</v>
      </c>
    </row>
    <row r="9" spans="2:9" x14ac:dyDescent="0.3">
      <c r="B9" s="3" t="s">
        <v>34</v>
      </c>
    </row>
    <row r="10" spans="2:9" x14ac:dyDescent="0.3">
      <c r="B10" s="2" t="s">
        <v>35</v>
      </c>
      <c r="C10" s="8">
        <v>2116</v>
      </c>
      <c r="D10" s="8">
        <v>6442</v>
      </c>
      <c r="E10" s="8">
        <v>2562</v>
      </c>
      <c r="F10" s="8">
        <v>2796</v>
      </c>
      <c r="G10" s="8">
        <v>2848</v>
      </c>
      <c r="H10" s="8">
        <v>3609</v>
      </c>
      <c r="I10" s="8">
        <v>2884</v>
      </c>
    </row>
    <row r="11" spans="2:9" x14ac:dyDescent="0.3">
      <c r="B11" s="2" t="s">
        <v>36</v>
      </c>
      <c r="C11" s="8">
        <v>624</v>
      </c>
      <c r="D11" s="8">
        <v>608</v>
      </c>
      <c r="E11" s="8">
        <v>1308</v>
      </c>
      <c r="F11" s="8">
        <v>485</v>
      </c>
      <c r="G11" s="8">
        <v>814</v>
      </c>
      <c r="H11" s="8">
        <v>465</v>
      </c>
      <c r="I11" s="8">
        <v>1668</v>
      </c>
    </row>
    <row r="12" spans="2:9" x14ac:dyDescent="0.3">
      <c r="B12" s="2" t="s">
        <v>37</v>
      </c>
      <c r="C12" s="8">
        <v>87</v>
      </c>
      <c r="D12" s="8">
        <v>149</v>
      </c>
      <c r="E12" s="8">
        <v>391</v>
      </c>
      <c r="F12" s="8">
        <v>446</v>
      </c>
      <c r="G12" s="8">
        <v>405</v>
      </c>
      <c r="H12" s="8">
        <v>457</v>
      </c>
      <c r="I12" s="8">
        <v>530</v>
      </c>
    </row>
    <row r="13" spans="2:9" x14ac:dyDescent="0.3">
      <c r="B13" s="2" t="s">
        <v>38</v>
      </c>
      <c r="C13" s="8">
        <v>0</v>
      </c>
      <c r="D13" s="8">
        <v>0</v>
      </c>
      <c r="E13" s="8">
        <v>0</v>
      </c>
      <c r="F13" s="8">
        <v>509</v>
      </c>
      <c r="G13" s="8">
        <v>687</v>
      </c>
      <c r="H13" s="8">
        <v>782</v>
      </c>
      <c r="I13" s="8">
        <v>1403</v>
      </c>
    </row>
    <row r="14" spans="2:9" x14ac:dyDescent="0.3">
      <c r="B14" s="2" t="s">
        <v>39</v>
      </c>
      <c r="C14" s="8">
        <v>65</v>
      </c>
      <c r="D14" s="8">
        <v>12</v>
      </c>
      <c r="E14" s="8">
        <v>123</v>
      </c>
      <c r="F14" s="8">
        <v>93</v>
      </c>
      <c r="G14" s="8">
        <v>29</v>
      </c>
      <c r="H14" s="8">
        <v>78</v>
      </c>
      <c r="I14" s="8">
        <v>50</v>
      </c>
    </row>
    <row r="15" spans="2:9" x14ac:dyDescent="0.3">
      <c r="B15" s="2" t="s">
        <v>40</v>
      </c>
      <c r="C15" s="8">
        <v>266</v>
      </c>
      <c r="D15" s="8">
        <v>314</v>
      </c>
      <c r="E15" s="8">
        <v>316</v>
      </c>
      <c r="F15" s="8">
        <v>287</v>
      </c>
      <c r="G15" s="8">
        <v>354</v>
      </c>
      <c r="H15" s="8">
        <v>366</v>
      </c>
      <c r="I15" s="8">
        <v>496</v>
      </c>
    </row>
    <row r="16" spans="2:9" x14ac:dyDescent="0.3">
      <c r="B16" s="2" t="s">
        <v>41</v>
      </c>
      <c r="C16" s="8">
        <v>436</v>
      </c>
      <c r="D16" s="8">
        <v>455</v>
      </c>
      <c r="E16" s="8">
        <v>457</v>
      </c>
      <c r="F16" s="8">
        <v>431</v>
      </c>
      <c r="G16" s="8">
        <v>420</v>
      </c>
      <c r="H16" s="8">
        <v>3921</v>
      </c>
      <c r="I16" s="8">
        <v>7076</v>
      </c>
    </row>
    <row r="17" spans="2:9" ht="16.2" thickBot="1" x14ac:dyDescent="0.35">
      <c r="B17" s="10" t="s">
        <v>42</v>
      </c>
      <c r="C17" s="11">
        <f t="shared" ref="C17:I17" si="0">SUM(C10:C16)</f>
        <v>3594</v>
      </c>
      <c r="D17" s="11">
        <f t="shared" si="0"/>
        <v>7980</v>
      </c>
      <c r="E17" s="11">
        <f t="shared" si="0"/>
        <v>5157</v>
      </c>
      <c r="F17" s="11">
        <f t="shared" si="0"/>
        <v>5047</v>
      </c>
      <c r="G17" s="11">
        <f t="shared" si="0"/>
        <v>5557</v>
      </c>
      <c r="H17" s="11">
        <f t="shared" si="0"/>
        <v>9678</v>
      </c>
      <c r="I17" s="11">
        <f t="shared" si="0"/>
        <v>14107</v>
      </c>
    </row>
    <row r="19" spans="2:9" x14ac:dyDescent="0.3">
      <c r="B19" s="3" t="s">
        <v>43</v>
      </c>
    </row>
    <row r="20" spans="2:9" x14ac:dyDescent="0.3">
      <c r="B20" s="2" t="s">
        <v>44</v>
      </c>
      <c r="C20" s="8">
        <v>13</v>
      </c>
      <c r="D20" s="8">
        <v>19</v>
      </c>
      <c r="E20" s="8">
        <v>43</v>
      </c>
      <c r="F20" s="8">
        <v>98</v>
      </c>
      <c r="G20" s="8">
        <v>105</v>
      </c>
      <c r="H20" s="8">
        <v>131</v>
      </c>
      <c r="I20" s="8">
        <v>94</v>
      </c>
    </row>
    <row r="21" spans="2:9" x14ac:dyDescent="0.3">
      <c r="B21" s="2" t="s">
        <v>45</v>
      </c>
      <c r="C21" s="8">
        <v>780</v>
      </c>
      <c r="D21" s="8">
        <v>734</v>
      </c>
      <c r="E21" s="8">
        <v>780</v>
      </c>
      <c r="F21" s="8">
        <v>888</v>
      </c>
      <c r="G21" s="8">
        <v>969</v>
      </c>
      <c r="H21" s="8">
        <v>1009</v>
      </c>
      <c r="I21" s="8">
        <v>961</v>
      </c>
    </row>
    <row r="22" spans="2:9" x14ac:dyDescent="0.3">
      <c r="B22" s="2" t="s">
        <v>46</v>
      </c>
      <c r="C22" s="8">
        <v>0</v>
      </c>
      <c r="D22" s="8">
        <v>226</v>
      </c>
      <c r="E22" s="8">
        <v>380</v>
      </c>
      <c r="F22" s="8">
        <v>549</v>
      </c>
      <c r="G22" s="8">
        <v>469</v>
      </c>
      <c r="H22" s="8">
        <v>411</v>
      </c>
      <c r="I22" s="8">
        <v>541</v>
      </c>
    </row>
    <row r="23" spans="2:9" x14ac:dyDescent="0.3">
      <c r="B23" s="2" t="s">
        <v>47</v>
      </c>
      <c r="C23" s="8">
        <v>1655</v>
      </c>
      <c r="D23" s="8">
        <v>1654</v>
      </c>
      <c r="E23" s="8">
        <v>5613</v>
      </c>
      <c r="F23" s="8">
        <v>13736</v>
      </c>
      <c r="G23" s="8">
        <v>13780</v>
      </c>
      <c r="H23" s="8">
        <v>13844</v>
      </c>
      <c r="I23" s="8">
        <v>13980</v>
      </c>
    </row>
    <row r="24" spans="2:9" x14ac:dyDescent="0.3">
      <c r="B24" s="2" t="s">
        <v>48</v>
      </c>
      <c r="C24" s="8">
        <v>54</v>
      </c>
      <c r="D24" s="8">
        <v>28</v>
      </c>
      <c r="E24" s="8">
        <v>3252</v>
      </c>
      <c r="F24" s="8">
        <v>7061</v>
      </c>
      <c r="G24" s="8">
        <v>6419</v>
      </c>
      <c r="H24" s="8">
        <v>5820</v>
      </c>
      <c r="I24" s="8">
        <v>5302</v>
      </c>
    </row>
    <row r="25" spans="2:9" x14ac:dyDescent="0.3">
      <c r="B25" s="2" t="s">
        <v>49</v>
      </c>
      <c r="C25" s="8">
        <v>0</v>
      </c>
      <c r="D25" s="8">
        <v>65</v>
      </c>
      <c r="E25" s="8">
        <v>8</v>
      </c>
      <c r="F25" s="8">
        <v>11</v>
      </c>
      <c r="G25" s="8">
        <v>64</v>
      </c>
      <c r="H25" s="8">
        <v>698</v>
      </c>
      <c r="I25" s="8">
        <v>1222</v>
      </c>
    </row>
    <row r="26" spans="2:9" x14ac:dyDescent="0.3">
      <c r="B26" s="2" t="s">
        <v>50</v>
      </c>
      <c r="C26" s="8">
        <v>187</v>
      </c>
      <c r="D26" s="8">
        <v>225</v>
      </c>
      <c r="E26" s="8">
        <v>283</v>
      </c>
      <c r="F26" s="8">
        <v>344</v>
      </c>
      <c r="G26" s="8">
        <v>417</v>
      </c>
      <c r="H26" s="8">
        <v>541</v>
      </c>
      <c r="I26" s="8">
        <v>751</v>
      </c>
    </row>
    <row r="27" spans="2:9" ht="16.2" thickBot="1" x14ac:dyDescent="0.35">
      <c r="B27" s="10" t="s">
        <v>51</v>
      </c>
      <c r="C27" s="11">
        <f t="shared" ref="C27:I27" si="1">SUM(C20:C26)</f>
        <v>2689</v>
      </c>
      <c r="D27" s="11">
        <f t="shared" si="1"/>
        <v>2951</v>
      </c>
      <c r="E27" s="11">
        <f t="shared" si="1"/>
        <v>10359</v>
      </c>
      <c r="F27" s="11">
        <f t="shared" si="1"/>
        <v>22687</v>
      </c>
      <c r="G27" s="11">
        <f t="shared" si="1"/>
        <v>22223</v>
      </c>
      <c r="H27" s="11">
        <f t="shared" si="1"/>
        <v>22454</v>
      </c>
      <c r="I27" s="11">
        <f t="shared" si="1"/>
        <v>22851</v>
      </c>
    </row>
    <row r="28" spans="2:9" ht="16.2" thickBot="1" x14ac:dyDescent="0.35"/>
    <row r="29" spans="2:9" ht="16.2" thickBot="1" x14ac:dyDescent="0.35">
      <c r="B29" s="14" t="s">
        <v>52</v>
      </c>
      <c r="C29" s="15">
        <f t="shared" ref="C29:I29" si="2">C17+C27</f>
        <v>6283</v>
      </c>
      <c r="D29" s="15">
        <f t="shared" si="2"/>
        <v>10931</v>
      </c>
      <c r="E29" s="15">
        <f t="shared" si="2"/>
        <v>15516</v>
      </c>
      <c r="F29" s="15">
        <f t="shared" si="2"/>
        <v>27734</v>
      </c>
      <c r="G29" s="15">
        <f t="shared" si="2"/>
        <v>27780</v>
      </c>
      <c r="H29" s="15">
        <f t="shared" si="2"/>
        <v>32132</v>
      </c>
      <c r="I29" s="15">
        <f t="shared" si="2"/>
        <v>36958</v>
      </c>
    </row>
    <row r="31" spans="2:9" x14ac:dyDescent="0.3">
      <c r="B31" s="3" t="s">
        <v>53</v>
      </c>
    </row>
    <row r="32" spans="2:9" x14ac:dyDescent="0.3">
      <c r="B32" s="3" t="s">
        <v>54</v>
      </c>
    </row>
    <row r="33" spans="2:9" x14ac:dyDescent="0.3">
      <c r="B33" s="2" t="s">
        <v>55</v>
      </c>
      <c r="C33" s="8">
        <v>50</v>
      </c>
      <c r="D33" s="8">
        <v>1338</v>
      </c>
      <c r="E33" s="8">
        <v>0</v>
      </c>
      <c r="F33" s="8">
        <v>499</v>
      </c>
      <c r="G33" s="8">
        <v>0</v>
      </c>
      <c r="H33" s="8">
        <v>499</v>
      </c>
      <c r="I33" s="8">
        <v>0</v>
      </c>
    </row>
    <row r="34" spans="2:9" x14ac:dyDescent="0.3">
      <c r="B34" s="2" t="s">
        <v>56</v>
      </c>
      <c r="C34" s="8">
        <v>274</v>
      </c>
      <c r="D34" s="8">
        <v>305</v>
      </c>
      <c r="E34" s="8">
        <v>623</v>
      </c>
      <c r="F34" s="8">
        <v>737</v>
      </c>
      <c r="G34" s="8">
        <v>638</v>
      </c>
      <c r="H34" s="8">
        <v>721</v>
      </c>
      <c r="I34" s="8">
        <v>792</v>
      </c>
    </row>
    <row r="35" spans="2:9" x14ac:dyDescent="0.3">
      <c r="B35" s="2" t="s">
        <v>57</v>
      </c>
      <c r="C35" s="8">
        <v>385</v>
      </c>
      <c r="D35" s="8">
        <v>482</v>
      </c>
      <c r="E35" s="8">
        <v>530</v>
      </c>
      <c r="F35" s="8">
        <v>576</v>
      </c>
      <c r="G35" s="8">
        <v>665</v>
      </c>
      <c r="H35" s="8">
        <v>921</v>
      </c>
      <c r="I35" s="8">
        <v>858</v>
      </c>
    </row>
    <row r="36" spans="2:9" x14ac:dyDescent="0.3">
      <c r="B36" s="2" t="s">
        <v>58</v>
      </c>
      <c r="C36" s="8">
        <v>619</v>
      </c>
      <c r="D36" s="8">
        <v>652</v>
      </c>
      <c r="E36" s="8">
        <v>684</v>
      </c>
      <c r="F36" s="8">
        <v>808</v>
      </c>
      <c r="G36" s="8">
        <v>921</v>
      </c>
      <c r="H36" s="8">
        <v>872</v>
      </c>
      <c r="I36" s="8">
        <v>1019</v>
      </c>
    </row>
    <row r="37" spans="2:9" x14ac:dyDescent="0.3">
      <c r="B37" s="2" t="s">
        <v>59</v>
      </c>
      <c r="C37" s="8">
        <v>0</v>
      </c>
      <c r="D37" s="8">
        <v>46</v>
      </c>
      <c r="E37" s="8">
        <v>66</v>
      </c>
      <c r="F37" s="8">
        <v>84</v>
      </c>
      <c r="G37" s="8">
        <v>89</v>
      </c>
      <c r="H37" s="8">
        <v>71</v>
      </c>
      <c r="I37" s="8">
        <v>69</v>
      </c>
    </row>
    <row r="38" spans="2:9" x14ac:dyDescent="0.3">
      <c r="B38" s="2" t="s">
        <v>60</v>
      </c>
      <c r="C38" s="8">
        <v>436</v>
      </c>
      <c r="D38" s="8">
        <v>455</v>
      </c>
      <c r="E38" s="8">
        <v>457</v>
      </c>
      <c r="F38" s="8">
        <v>431</v>
      </c>
      <c r="G38" s="8">
        <v>420</v>
      </c>
      <c r="H38" s="8">
        <v>3921</v>
      </c>
      <c r="I38" s="8">
        <v>7076</v>
      </c>
    </row>
    <row r="39" spans="2:9" x14ac:dyDescent="0.3">
      <c r="B39" s="2" t="s">
        <v>61</v>
      </c>
      <c r="C39" s="8">
        <v>202</v>
      </c>
      <c r="D39" s="8">
        <v>251</v>
      </c>
      <c r="E39" s="8">
        <v>295</v>
      </c>
      <c r="F39" s="8">
        <v>495</v>
      </c>
      <c r="G39" s="8">
        <v>1057</v>
      </c>
      <c r="H39" s="8">
        <v>486</v>
      </c>
      <c r="I39" s="8">
        <v>556</v>
      </c>
    </row>
    <row r="40" spans="2:9" ht="16.2" thickBot="1" x14ac:dyDescent="0.35">
      <c r="B40" s="10" t="s">
        <v>62</v>
      </c>
      <c r="C40" s="11">
        <f t="shared" ref="C40:I40" si="3">SUM(C33:C39)</f>
        <v>1966</v>
      </c>
      <c r="D40" s="11">
        <f t="shared" si="3"/>
        <v>3529</v>
      </c>
      <c r="E40" s="11">
        <f t="shared" si="3"/>
        <v>2655</v>
      </c>
      <c r="F40" s="11">
        <f t="shared" si="3"/>
        <v>3630</v>
      </c>
      <c r="G40" s="11">
        <f t="shared" si="3"/>
        <v>3790</v>
      </c>
      <c r="H40" s="11">
        <f t="shared" si="3"/>
        <v>7491</v>
      </c>
      <c r="I40" s="11">
        <f t="shared" si="3"/>
        <v>10370</v>
      </c>
    </row>
    <row r="42" spans="2:9" x14ac:dyDescent="0.3">
      <c r="B42" s="3" t="s">
        <v>63</v>
      </c>
    </row>
    <row r="43" spans="2:9" x14ac:dyDescent="0.3">
      <c r="B43" s="2" t="s">
        <v>64</v>
      </c>
      <c r="C43" s="8">
        <v>386</v>
      </c>
      <c r="D43" s="8">
        <v>2031</v>
      </c>
      <c r="E43" s="8">
        <v>2034</v>
      </c>
      <c r="F43" s="8">
        <v>6415</v>
      </c>
      <c r="G43" s="8">
        <v>6120</v>
      </c>
      <c r="H43" s="8">
        <v>5539</v>
      </c>
      <c r="I43" s="8">
        <v>5973</v>
      </c>
    </row>
    <row r="44" spans="2:9" x14ac:dyDescent="0.3">
      <c r="B44" s="2" t="s">
        <v>65</v>
      </c>
      <c r="C44" s="8">
        <v>0</v>
      </c>
      <c r="D44" s="8">
        <v>221</v>
      </c>
      <c r="E44" s="8">
        <v>380</v>
      </c>
      <c r="F44" s="8">
        <v>542</v>
      </c>
      <c r="G44" s="8">
        <v>480</v>
      </c>
      <c r="H44" s="8">
        <v>458</v>
      </c>
      <c r="I44" s="8">
        <v>597</v>
      </c>
    </row>
    <row r="45" spans="2:9" x14ac:dyDescent="0.3">
      <c r="B45" s="2" t="s">
        <v>66</v>
      </c>
      <c r="C45" s="8">
        <v>37</v>
      </c>
      <c r="D45" s="8">
        <v>2</v>
      </c>
      <c r="E45" s="8">
        <v>525</v>
      </c>
      <c r="F45" s="8">
        <v>619</v>
      </c>
      <c r="G45" s="8">
        <v>4</v>
      </c>
      <c r="H45" s="8">
        <v>0</v>
      </c>
      <c r="I45" s="8">
        <v>0</v>
      </c>
    </row>
    <row r="46" spans="2:9" x14ac:dyDescent="0.3">
      <c r="B46" s="2" t="s">
        <v>67</v>
      </c>
      <c r="C46" s="8">
        <v>145</v>
      </c>
      <c r="D46" s="8">
        <v>42</v>
      </c>
      <c r="E46" s="8">
        <v>53</v>
      </c>
      <c r="F46" s="8">
        <v>87</v>
      </c>
      <c r="G46" s="8">
        <v>117</v>
      </c>
      <c r="H46" s="8">
        <v>208</v>
      </c>
      <c r="I46" s="8">
        <v>308</v>
      </c>
    </row>
    <row r="47" spans="2:9" ht="16.2" thickBot="1" x14ac:dyDescent="0.35">
      <c r="B47" s="10" t="s">
        <v>68</v>
      </c>
      <c r="C47" s="11">
        <f t="shared" ref="C47:I47" si="4">SUM(C43:C46)</f>
        <v>568</v>
      </c>
      <c r="D47" s="11">
        <f t="shared" si="4"/>
        <v>2296</v>
      </c>
      <c r="E47" s="11">
        <f t="shared" si="4"/>
        <v>2992</v>
      </c>
      <c r="F47" s="11">
        <f t="shared" si="4"/>
        <v>7663</v>
      </c>
      <c r="G47" s="11">
        <f t="shared" si="4"/>
        <v>6721</v>
      </c>
      <c r="H47" s="11">
        <f t="shared" si="4"/>
        <v>6205</v>
      </c>
      <c r="I47" s="11">
        <f t="shared" si="4"/>
        <v>6878</v>
      </c>
    </row>
    <row r="49" spans="2:9" ht="16.2" thickBot="1" x14ac:dyDescent="0.35">
      <c r="B49" s="10" t="s">
        <v>69</v>
      </c>
      <c r="C49" s="11">
        <f t="shared" ref="C49:I49" si="5">C40+C47</f>
        <v>2534</v>
      </c>
      <c r="D49" s="11">
        <f t="shared" si="5"/>
        <v>5825</v>
      </c>
      <c r="E49" s="11">
        <f t="shared" si="5"/>
        <v>5647</v>
      </c>
      <c r="F49" s="11">
        <f t="shared" si="5"/>
        <v>11293</v>
      </c>
      <c r="G49" s="11">
        <f t="shared" si="5"/>
        <v>10511</v>
      </c>
      <c r="H49" s="11">
        <f t="shared" si="5"/>
        <v>13696</v>
      </c>
      <c r="I49" s="11">
        <f t="shared" si="5"/>
        <v>17248</v>
      </c>
    </row>
    <row r="51" spans="2:9" x14ac:dyDescent="0.3">
      <c r="B51" s="3" t="s">
        <v>70</v>
      </c>
    </row>
    <row r="52" spans="2:9" x14ac:dyDescent="0.3">
      <c r="B52" s="2" t="s">
        <v>71</v>
      </c>
      <c r="C52" s="8">
        <v>5775</v>
      </c>
      <c r="D52" s="8">
        <v>6182</v>
      </c>
      <c r="E52" s="8">
        <v>10548</v>
      </c>
      <c r="F52" s="8">
        <v>17725</v>
      </c>
      <c r="G52" s="8">
        <v>19029</v>
      </c>
      <c r="H52" s="8">
        <v>20251</v>
      </c>
      <c r="I52" s="8">
        <v>21635</v>
      </c>
    </row>
    <row r="53" spans="2:9" x14ac:dyDescent="0.3">
      <c r="B53" s="2" t="s">
        <v>72</v>
      </c>
      <c r="C53" s="8">
        <v>-11611</v>
      </c>
      <c r="D53" s="8">
        <v>-11929</v>
      </c>
      <c r="E53" s="8">
        <v>-12951</v>
      </c>
      <c r="F53" s="8">
        <v>-14805</v>
      </c>
      <c r="G53" s="8">
        <v>-16772</v>
      </c>
      <c r="H53" s="8">
        <v>-18750</v>
      </c>
      <c r="I53" s="8">
        <v>-21543</v>
      </c>
    </row>
    <row r="54" spans="2:9" x14ac:dyDescent="0.3">
      <c r="B54" s="2" t="s">
        <v>73</v>
      </c>
      <c r="C54" s="8">
        <v>-36</v>
      </c>
      <c r="D54" s="8">
        <v>-32</v>
      </c>
      <c r="E54" s="8">
        <v>-24</v>
      </c>
      <c r="F54" s="8">
        <v>-60</v>
      </c>
      <c r="G54" s="8">
        <v>-55</v>
      </c>
      <c r="H54" s="8">
        <v>-54</v>
      </c>
      <c r="I54" s="8">
        <v>-50</v>
      </c>
    </row>
    <row r="55" spans="2:9" x14ac:dyDescent="0.3">
      <c r="B55" s="2" t="s">
        <v>74</v>
      </c>
      <c r="C55" s="8">
        <v>9621</v>
      </c>
      <c r="D55" s="8">
        <v>10885</v>
      </c>
      <c r="E55" s="8">
        <v>12296</v>
      </c>
      <c r="F55" s="8">
        <v>13581</v>
      </c>
      <c r="G55" s="8">
        <v>15067</v>
      </c>
      <c r="H55" s="8">
        <v>16989</v>
      </c>
      <c r="I55" s="8">
        <v>19668</v>
      </c>
    </row>
    <row r="56" spans="2:9" ht="16.2" thickBot="1" x14ac:dyDescent="0.35">
      <c r="B56" s="10" t="s">
        <v>75</v>
      </c>
      <c r="C56" s="11">
        <f t="shared" ref="C56:I56" si="6">SUM(C52:C55)</f>
        <v>3749</v>
      </c>
      <c r="D56" s="11">
        <f t="shared" si="6"/>
        <v>5106</v>
      </c>
      <c r="E56" s="11">
        <f t="shared" si="6"/>
        <v>9869</v>
      </c>
      <c r="F56" s="11">
        <f t="shared" si="6"/>
        <v>16441</v>
      </c>
      <c r="G56" s="11">
        <f t="shared" si="6"/>
        <v>17269</v>
      </c>
      <c r="H56" s="11">
        <f t="shared" si="6"/>
        <v>18436</v>
      </c>
      <c r="I56" s="11">
        <f t="shared" si="6"/>
        <v>19710</v>
      </c>
    </row>
    <row r="57" spans="2:9" ht="16.2" thickBot="1" x14ac:dyDescent="0.35"/>
    <row r="58" spans="2:9" ht="16.2" thickBot="1" x14ac:dyDescent="0.35">
      <c r="B58" s="14" t="s">
        <v>76</v>
      </c>
      <c r="C58" s="15">
        <f t="shared" ref="C58:I58" si="7">C49+C56</f>
        <v>6283</v>
      </c>
      <c r="D58" s="15">
        <f t="shared" si="7"/>
        <v>10931</v>
      </c>
      <c r="E58" s="15">
        <f t="shared" si="7"/>
        <v>15516</v>
      </c>
      <c r="F58" s="15">
        <f t="shared" si="7"/>
        <v>27734</v>
      </c>
      <c r="G58" s="15">
        <f t="shared" si="7"/>
        <v>27780</v>
      </c>
      <c r="H58" s="15">
        <f t="shared" si="7"/>
        <v>32132</v>
      </c>
      <c r="I58" s="15">
        <f t="shared" si="7"/>
        <v>36958</v>
      </c>
    </row>
    <row r="60" spans="2:9" ht="16.2" thickBot="1" x14ac:dyDescent="0.35">
      <c r="B60" s="10" t="s">
        <v>77</v>
      </c>
      <c r="C60" s="11">
        <f t="shared" ref="C60:I60" si="8">ROUND(C29-C58,0)</f>
        <v>0</v>
      </c>
      <c r="D60" s="11">
        <f t="shared" si="8"/>
        <v>0</v>
      </c>
      <c r="E60" s="11">
        <f t="shared" si="8"/>
        <v>0</v>
      </c>
      <c r="F60" s="11">
        <f t="shared" si="8"/>
        <v>0</v>
      </c>
      <c r="G60" s="11">
        <f t="shared" si="8"/>
        <v>0</v>
      </c>
      <c r="H60" s="11">
        <f t="shared" si="8"/>
        <v>0</v>
      </c>
      <c r="I60" s="11">
        <f t="shared" si="8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Cover</vt:lpstr>
      <vt:lpstr>Control</vt:lpstr>
      <vt:lpstr>Metrics &amp; Drivers</vt:lpstr>
      <vt:lpstr>DCF</vt:lpstr>
      <vt:lpstr>Net Working Capital</vt:lpstr>
      <vt:lpstr>WACC</vt:lpstr>
      <vt:lpstr>Comps Analysis</vt:lpstr>
      <vt:lpstr>Income Statement</vt:lpstr>
      <vt:lpstr>Balance Sheet</vt:lpstr>
      <vt:lpstr>Cash Flow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Bhavya Patel</dc:creator>
  <cp:lastModifiedBy>Patel,BM (ug)</cp:lastModifiedBy>
  <dcterms:created xsi:type="dcterms:W3CDTF">2026-03-06T15:45:18Z</dcterms:created>
  <dcterms:modified xsi:type="dcterms:W3CDTF">2026-03-10T18:43:30Z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{AA516558-4606-4753-B73B-B0CED4FF09F6}</vt:lpwstr>
  </property>
  <property fmtid="{D5CDD505-2E9C-101B-9397-08002B2CF9AE}" pid="3" name="shortcut_file_id">
    <vt:lpwstr>d4f57cfa-3a43-49f9-9d37-65ef2ecc1d8c</vt:lpwstr>
  </property>
</Properties>
</file>